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20" documentId="8_{BCAACF67-BEE6-422C-B42E-FA602EBFDBB6}" xr6:coauthVersionLast="47" xr6:coauthVersionMax="47" xr10:uidLastSave="{FD62791F-E607-489C-BCAA-BC9C9534784C}"/>
  <bookViews>
    <workbookView xWindow="5280" yWindow="-16320" windowWidth="29040" windowHeight="15720" tabRatio="867" activeTab="1"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AK145" i="105"/>
  <c r="AI58" i="105"/>
  <c r="AI10" i="106" l="1"/>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s="1"/>
  <c r="AI64" i="105" l="1"/>
  <c r="AK64" i="105" s="1"/>
  <c r="AK56"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W109" i="105"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D20" i="103"/>
  <c r="AE20" i="106"/>
  <c r="AQ20" i="106" s="1"/>
  <c r="AD20" i="106"/>
  <c r="AC20" i="106"/>
  <c r="W108" i="105" l="1"/>
  <c r="W110" i="105" s="1"/>
  <c r="AC110"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<sst xmlns="http://schemas.openxmlformats.org/spreadsheetml/2006/main" count="7573" uniqueCount="2530">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</sst>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2217</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2218</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2213</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t="s">
        <v>4</v>
      </c>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t="s">
        <v>2390</v>
      </c>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t="s">
        <v>2391</v>
      </c>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t="s">
        <v>12</v>
      </c>
      <c r="M17" s="696"/>
      <c r="N17" s="696"/>
      <c r="O17" s="697"/>
      <c r="P17" s="77" t="s">
        <v>13</v>
      </c>
      <c r="Q17" s="698" t="s">
        <v>2392</v>
      </c>
      <c r="R17" s="699"/>
      <c r="S17" s="699"/>
      <c r="T17" s="699"/>
      <c r="U17" s="700"/>
      <c r="V17" s="37"/>
      <c r="W17" s="37"/>
      <c r="X17" s="37"/>
      <c r="Y17" s="37"/>
      <c r="Z17" s="37"/>
      <c r="AB17" s="24"/>
      <c r="AC17" s="24"/>
      <c r="AD17" s="24"/>
      <c r="AO17" s="27" t="s">
        <v>14</v>
      </c>
    </row>
    <row r="18" spans="1:41" ht="44.25" customHeight="1">
      <c r="A18" s="686"/>
      <c r="B18" s="687" t="s">
        <v>15</v>
      </c>
      <c r="C18" s="687"/>
      <c r="D18" s="687"/>
      <c r="E18" s="687"/>
      <c r="F18" s="687"/>
      <c r="G18" s="687"/>
      <c r="H18" s="687"/>
      <c r="I18" s="687"/>
      <c r="J18" s="687"/>
      <c r="K18" s="687"/>
      <c r="L18" s="680" t="s">
        <v>2393</v>
      </c>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100-１２３４</v>
      </c>
    </row>
    <row r="19" spans="1:41" ht="38.25" customHeight="1">
      <c r="A19" s="662"/>
      <c r="B19" s="687" t="s">
        <v>16</v>
      </c>
      <c r="C19" s="687"/>
      <c r="D19" s="687"/>
      <c r="E19" s="687"/>
      <c r="F19" s="687"/>
      <c r="G19" s="687"/>
      <c r="H19" s="687"/>
      <c r="I19" s="687"/>
      <c r="J19" s="687"/>
      <c r="K19" s="687"/>
      <c r="L19" s="683" t="s">
        <v>17</v>
      </c>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18</v>
      </c>
      <c r="B20" s="664" t="s">
        <v>19</v>
      </c>
      <c r="C20" s="656"/>
      <c r="D20" s="656"/>
      <c r="E20" s="656"/>
      <c r="F20" s="656"/>
      <c r="G20" s="656"/>
      <c r="H20" s="656"/>
      <c r="I20" s="656"/>
      <c r="J20" s="656"/>
      <c r="K20" s="656"/>
      <c r="L20" s="653" t="s">
        <v>20</v>
      </c>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21</v>
      </c>
      <c r="C21" s="663"/>
      <c r="D21" s="663"/>
      <c r="E21" s="663"/>
      <c r="F21" s="663"/>
      <c r="G21" s="663"/>
      <c r="H21" s="663"/>
      <c r="I21" s="663"/>
      <c r="J21" s="663"/>
      <c r="K21" s="664"/>
      <c r="L21" s="653" t="s">
        <v>24</v>
      </c>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22</v>
      </c>
      <c r="B22" s="673"/>
      <c r="C22" s="673"/>
      <c r="D22" s="673"/>
      <c r="E22" s="673"/>
      <c r="F22" s="673"/>
      <c r="G22" s="673"/>
      <c r="H22" s="673"/>
      <c r="I22" s="673"/>
      <c r="J22" s="673"/>
      <c r="K22" s="674"/>
      <c r="L22" s="701" t="s">
        <v>2394</v>
      </c>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23</v>
      </c>
      <c r="B23" s="656" t="s">
        <v>8</v>
      </c>
      <c r="C23" s="656"/>
      <c r="D23" s="656"/>
      <c r="E23" s="656"/>
      <c r="F23" s="656"/>
      <c r="G23" s="656"/>
      <c r="H23" s="656"/>
      <c r="I23" s="656"/>
      <c r="J23" s="656"/>
      <c r="K23" s="656"/>
      <c r="L23" s="653" t="s">
        <v>2395</v>
      </c>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21</v>
      </c>
      <c r="C24" s="670"/>
      <c r="D24" s="670"/>
      <c r="E24" s="670"/>
      <c r="F24" s="670"/>
      <c r="G24" s="670"/>
      <c r="H24" s="670"/>
      <c r="I24" s="670"/>
      <c r="J24" s="670"/>
      <c r="K24" s="670"/>
      <c r="L24" s="653" t="s">
        <v>2396</v>
      </c>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25</v>
      </c>
      <c r="B25" s="656" t="s">
        <v>26</v>
      </c>
      <c r="C25" s="656"/>
      <c r="D25" s="656"/>
      <c r="E25" s="656"/>
      <c r="F25" s="656"/>
      <c r="G25" s="656"/>
      <c r="H25" s="656"/>
      <c r="I25" s="656"/>
      <c r="J25" s="656"/>
      <c r="K25" s="656"/>
      <c r="L25" s="653" t="s">
        <v>2397</v>
      </c>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27</v>
      </c>
      <c r="C26" s="656"/>
      <c r="D26" s="656"/>
      <c r="E26" s="656"/>
      <c r="F26" s="656"/>
      <c r="G26" s="656"/>
      <c r="H26" s="656"/>
      <c r="I26" s="656"/>
      <c r="J26" s="656"/>
      <c r="K26" s="656"/>
      <c r="L26" s="667" t="s">
        <v>2398</v>
      </c>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2219</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2220</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31</v>
      </c>
      <c r="B33" s="688" t="s">
        <v>2221</v>
      </c>
      <c r="C33" s="689"/>
      <c r="D33" s="689"/>
      <c r="E33" s="689"/>
      <c r="F33" s="689"/>
      <c r="G33" s="689"/>
      <c r="H33" s="689"/>
      <c r="I33" s="689"/>
      <c r="J33" s="689"/>
      <c r="K33" s="690"/>
      <c r="L33" s="688" t="s">
        <v>32</v>
      </c>
      <c r="M33" s="689"/>
      <c r="N33" s="689"/>
      <c r="O33" s="689"/>
      <c r="P33" s="690"/>
      <c r="Q33" s="714" t="s">
        <v>33</v>
      </c>
      <c r="R33" s="715"/>
      <c r="S33" s="715"/>
      <c r="T33" s="715"/>
      <c r="U33" s="715"/>
      <c r="V33" s="716"/>
      <c r="W33" s="649" t="s">
        <v>34</v>
      </c>
      <c r="X33" s="649"/>
      <c r="Y33" s="649"/>
      <c r="Z33" s="649" t="s">
        <v>35</v>
      </c>
      <c r="AA33" s="649"/>
      <c r="AB33" s="649"/>
      <c r="AC33" s="710" t="s">
        <v>36</v>
      </c>
      <c r="AD33" s="642" t="s">
        <v>2222</v>
      </c>
      <c r="AE33" s="717" t="s">
        <v>2223</v>
      </c>
      <c r="AF33" s="645" t="s">
        <v>2224</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37</v>
      </c>
      <c r="R34" s="661"/>
      <c r="S34" s="661"/>
      <c r="T34" s="661"/>
      <c r="U34" s="661"/>
      <c r="V34" s="289" t="s">
        <v>38</v>
      </c>
      <c r="W34" s="642"/>
      <c r="X34" s="642"/>
      <c r="Y34" s="642"/>
      <c r="Z34" s="642"/>
      <c r="AA34" s="642"/>
      <c r="AB34" s="642"/>
      <c r="AC34" s="711"/>
      <c r="AD34" s="643"/>
      <c r="AE34" s="718"/>
      <c r="AF34" s="646"/>
      <c r="AG34" s="691"/>
      <c r="AH34"/>
      <c r="AI34"/>
      <c r="AJ34"/>
      <c r="AK34"/>
      <c r="AL34"/>
      <c r="AM34"/>
      <c r="AN34"/>
    </row>
    <row r="35" spans="1:43" ht="45" customHeight="1" thickBot="1">
      <c r="A35" s="50">
        <v>1</v>
      </c>
      <c r="B35" s="631" t="s">
        <v>2399</v>
      </c>
      <c r="C35" s="632"/>
      <c r="D35" s="632"/>
      <c r="E35" s="632"/>
      <c r="F35" s="632"/>
      <c r="G35" s="632"/>
      <c r="H35" s="632"/>
      <c r="I35" s="632"/>
      <c r="J35" s="632"/>
      <c r="K35" s="633"/>
      <c r="L35" s="704" t="s">
        <v>39</v>
      </c>
      <c r="M35" s="705"/>
      <c r="N35" s="705"/>
      <c r="O35" s="705"/>
      <c r="P35" s="706"/>
      <c r="Q35" s="694" t="s">
        <v>4</v>
      </c>
      <c r="R35" s="694"/>
      <c r="S35" s="694"/>
      <c r="T35" s="694"/>
      <c r="U35" s="694"/>
      <c r="V35" s="292" t="s">
        <v>436</v>
      </c>
      <c r="W35" s="719" t="s">
        <v>2405</v>
      </c>
      <c r="X35" s="720"/>
      <c r="Y35" s="721"/>
      <c r="Z35" s="650" t="s">
        <v>2273</v>
      </c>
      <c r="AA35" s="650"/>
      <c r="AB35" s="650"/>
      <c r="AC35" s="293" t="str">
        <f>IFERROR(VLOOKUP(Z35,【参考】数式用!$A$4:$B$57,2,FALSE),"")</f>
        <v>11</v>
      </c>
      <c r="AD35" s="620">
        <v>620000</v>
      </c>
      <c r="AE35" s="621">
        <v>282720</v>
      </c>
      <c r="AF35" s="291">
        <f>AD35-AE35</f>
        <v>337280</v>
      </c>
      <c r="AG35" s="527"/>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31" t="s">
        <v>2400</v>
      </c>
      <c r="C36" s="632"/>
      <c r="D36" s="632"/>
      <c r="E36" s="632"/>
      <c r="F36" s="632"/>
      <c r="G36" s="632"/>
      <c r="H36" s="632"/>
      <c r="I36" s="632"/>
      <c r="J36" s="632"/>
      <c r="K36" s="633"/>
      <c r="L36" s="634" t="s">
        <v>42</v>
      </c>
      <c r="M36" s="635"/>
      <c r="N36" s="635"/>
      <c r="O36" s="635"/>
      <c r="P36" s="636"/>
      <c r="Q36" s="637" t="s">
        <v>4</v>
      </c>
      <c r="R36" s="637"/>
      <c r="S36" s="637"/>
      <c r="T36" s="637"/>
      <c r="U36" s="637"/>
      <c r="V36" s="381" t="s">
        <v>1381</v>
      </c>
      <c r="W36" s="638" t="s">
        <v>2406</v>
      </c>
      <c r="X36" s="639"/>
      <c r="Y36" s="640"/>
      <c r="Z36" s="641" t="s">
        <v>2283</v>
      </c>
      <c r="AA36" s="641"/>
      <c r="AB36" s="641"/>
      <c r="AC36" s="112" t="str">
        <f>IFERROR(VLOOKUP(Z36,【参考】数式用!$A$4:$B$57,2,FALSE),"")</f>
        <v>22</v>
      </c>
      <c r="AD36" s="622">
        <v>4740000</v>
      </c>
      <c r="AE36" s="623">
        <v>374460</v>
      </c>
      <c r="AF36" s="291">
        <f t="shared" ref="AF36:AF100" si="0">AD36-AE36</f>
        <v>4365540</v>
      </c>
      <c r="AG36" s="527"/>
      <c r="AP36" s="102" t="str">
        <f>IF($L$16="", "", VLOOKUP(Z36,【参考】数式用!$A$2:$O$57,14,FALSE))</f>
        <v>加算対象</v>
      </c>
      <c r="AQ36" s="27" t="str">
        <f>VLOOKUP(Z36,【参考】数式用!$A$2:$O$57,15,FALSE)</f>
        <v>その他</v>
      </c>
    </row>
    <row r="37" spans="1:43" ht="49.9" customHeight="1" thickBot="1">
      <c r="A37" s="384">
        <f t="shared" ref="A37:A100" si="1">A36+1</f>
        <v>3</v>
      </c>
      <c r="B37" s="631" t="s">
        <v>2401</v>
      </c>
      <c r="C37" s="632"/>
      <c r="D37" s="632"/>
      <c r="E37" s="632"/>
      <c r="F37" s="632"/>
      <c r="G37" s="632"/>
      <c r="H37" s="632"/>
      <c r="I37" s="632"/>
      <c r="J37" s="632"/>
      <c r="K37" s="633"/>
      <c r="L37" s="634" t="s">
        <v>42</v>
      </c>
      <c r="M37" s="635"/>
      <c r="N37" s="635"/>
      <c r="O37" s="635"/>
      <c r="P37" s="636"/>
      <c r="Q37" s="637" t="s">
        <v>4</v>
      </c>
      <c r="R37" s="637"/>
      <c r="S37" s="637"/>
      <c r="T37" s="637"/>
      <c r="U37" s="637"/>
      <c r="V37" s="383" t="s">
        <v>529</v>
      </c>
      <c r="W37" s="638" t="s">
        <v>2407</v>
      </c>
      <c r="X37" s="639"/>
      <c r="Y37" s="640"/>
      <c r="Z37" s="641" t="s">
        <v>2305</v>
      </c>
      <c r="AA37" s="641"/>
      <c r="AB37" s="641"/>
      <c r="AC37" s="112" t="str">
        <f>IFERROR(VLOOKUP(Z37,【参考】数式用!$A$4:$B$57,2,FALSE),"")</f>
        <v>46</v>
      </c>
      <c r="AD37" s="622">
        <v>2370000</v>
      </c>
      <c r="AE37" s="623">
        <v>248850</v>
      </c>
      <c r="AF37" s="291">
        <f t="shared" si="0"/>
        <v>2121150</v>
      </c>
      <c r="AG37" s="527"/>
      <c r="AP37" s="102" t="str">
        <f>IF($L$16="", "", VLOOKUP(Z37,【参考】数式用!$A$2:$O$57,14,FALSE))</f>
        <v>加算対象</v>
      </c>
      <c r="AQ37" s="27" t="str">
        <f>VLOOKUP(Z37,【参考】数式用!$A$2:$O$57,15,FALSE)</f>
        <v>その他</v>
      </c>
    </row>
    <row r="38" spans="1:43" ht="49.9" customHeight="1" thickBot="1">
      <c r="A38" s="384">
        <f t="shared" si="1"/>
        <v>4</v>
      </c>
      <c r="B38" s="631" t="s">
        <v>2402</v>
      </c>
      <c r="C38" s="632"/>
      <c r="D38" s="632"/>
      <c r="E38" s="632"/>
      <c r="F38" s="632"/>
      <c r="G38" s="632"/>
      <c r="H38" s="632"/>
      <c r="I38" s="632"/>
      <c r="J38" s="632"/>
      <c r="K38" s="633"/>
      <c r="L38" s="634" t="s">
        <v>42</v>
      </c>
      <c r="M38" s="635"/>
      <c r="N38" s="635"/>
      <c r="O38" s="635"/>
      <c r="P38" s="636"/>
      <c r="Q38" s="637" t="s">
        <v>4</v>
      </c>
      <c r="R38" s="637"/>
      <c r="S38" s="637"/>
      <c r="T38" s="637"/>
      <c r="U38" s="637"/>
      <c r="V38" s="383" t="s">
        <v>448</v>
      </c>
      <c r="W38" s="638" t="s">
        <v>2408</v>
      </c>
      <c r="X38" s="639"/>
      <c r="Y38" s="640"/>
      <c r="Z38" s="641" t="s">
        <v>2438</v>
      </c>
      <c r="AA38" s="641"/>
      <c r="AB38" s="641"/>
      <c r="AC38" s="112" t="str">
        <f>IFERROR(VLOOKUP(Z38,【参考】数式用!$A$4:$B$57,2,FALSE),"")</f>
        <v>42</v>
      </c>
      <c r="AD38" s="622">
        <v>7100000</v>
      </c>
      <c r="AE38" s="623">
        <v>880400</v>
      </c>
      <c r="AF38" s="291">
        <f t="shared" ref="AF38" si="2">AD38-AE38</f>
        <v>6219600</v>
      </c>
      <c r="AG38" s="527"/>
      <c r="AP38" s="102" t="str">
        <f>IF($L$16="", "", VLOOKUP(Z38,【参考】数式用!$A$2:$O$57,14,FALSE))</f>
        <v>加算対象</v>
      </c>
      <c r="AQ38" s="27" t="str">
        <f>VLOOKUP(Z38,【参考】数式用!$A$2:$O$57,15,FALSE)</f>
        <v>短期利用型</v>
      </c>
    </row>
    <row r="39" spans="1:43" ht="49.9" customHeight="1" thickBot="1">
      <c r="A39" s="384">
        <f t="shared" si="1"/>
        <v>5</v>
      </c>
      <c r="B39" s="631" t="s">
        <v>2403</v>
      </c>
      <c r="C39" s="632"/>
      <c r="D39" s="632"/>
      <c r="E39" s="632"/>
      <c r="F39" s="632"/>
      <c r="G39" s="632"/>
      <c r="H39" s="632"/>
      <c r="I39" s="632"/>
      <c r="J39" s="632"/>
      <c r="K39" s="633"/>
      <c r="L39" s="634" t="s">
        <v>42</v>
      </c>
      <c r="M39" s="635"/>
      <c r="N39" s="635"/>
      <c r="O39" s="635"/>
      <c r="P39" s="636"/>
      <c r="Q39" s="637" t="s">
        <v>4</v>
      </c>
      <c r="R39" s="637"/>
      <c r="S39" s="637"/>
      <c r="T39" s="637"/>
      <c r="U39" s="637"/>
      <c r="V39" s="383" t="s">
        <v>465</v>
      </c>
      <c r="W39" s="638" t="s">
        <v>2409</v>
      </c>
      <c r="X39" s="639"/>
      <c r="Y39" s="640"/>
      <c r="Z39" s="641" t="s">
        <v>2289</v>
      </c>
      <c r="AA39" s="641"/>
      <c r="AB39" s="641"/>
      <c r="AC39" s="112" t="str">
        <f>IFERROR(VLOOKUP(Z39,【参考】数式用!$A$4:$B$57,2,FALSE),"")</f>
        <v>21</v>
      </c>
      <c r="AD39" s="622">
        <v>12700000</v>
      </c>
      <c r="AE39" s="623">
        <v>2057400</v>
      </c>
      <c r="AF39" s="291">
        <f t="shared" si="0"/>
        <v>10642600</v>
      </c>
      <c r="AG39" s="527"/>
      <c r="AP39" s="102" t="str">
        <f>IF($L$16="", "", VLOOKUP(Z39,【参考】数式用!$A$2:$O$57,14,FALSE))</f>
        <v>加算対象</v>
      </c>
      <c r="AQ39" s="27" t="str">
        <f>VLOOKUP(Z39,【参考】数式用!$A$2:$O$57,15,FALSE)</f>
        <v>介護予防</v>
      </c>
    </row>
    <row r="40" spans="1:43" ht="49.9" customHeight="1" thickBot="1">
      <c r="A40" s="384">
        <f t="shared" si="1"/>
        <v>6</v>
      </c>
      <c r="B40" s="631" t="s">
        <v>2404</v>
      </c>
      <c r="C40" s="632"/>
      <c r="D40" s="632"/>
      <c r="E40" s="632"/>
      <c r="F40" s="632"/>
      <c r="G40" s="632"/>
      <c r="H40" s="632"/>
      <c r="I40" s="632"/>
      <c r="J40" s="632"/>
      <c r="K40" s="633"/>
      <c r="L40" s="634" t="s">
        <v>42</v>
      </c>
      <c r="M40" s="635"/>
      <c r="N40" s="635"/>
      <c r="O40" s="635"/>
      <c r="P40" s="636"/>
      <c r="Q40" s="637" t="s">
        <v>4</v>
      </c>
      <c r="R40" s="637"/>
      <c r="S40" s="637"/>
      <c r="T40" s="637"/>
      <c r="U40" s="637"/>
      <c r="V40" s="383" t="s">
        <v>1372</v>
      </c>
      <c r="W40" s="638" t="s">
        <v>2410</v>
      </c>
      <c r="X40" s="639"/>
      <c r="Y40" s="640"/>
      <c r="Z40" s="641" t="s">
        <v>2335</v>
      </c>
      <c r="AA40" s="641"/>
      <c r="AB40" s="641"/>
      <c r="AC40" s="112" t="str">
        <f>IFERROR(VLOOKUP(Z40,【参考】数式用!$A$4:$B$57,2,FALSE),"")</f>
        <v>52</v>
      </c>
      <c r="AD40" s="622">
        <v>500000</v>
      </c>
      <c r="AE40" s="623">
        <v>25500</v>
      </c>
      <c r="AF40" s="291">
        <f t="shared" si="0"/>
        <v>474500</v>
      </c>
      <c r="AG40" s="527"/>
      <c r="AP40" s="102" t="str">
        <f>IF($L$16="", "", VLOOKUP(Z40,【参考】数式用!$A$2:$O$57,14,FALSE))</f>
        <v>加算対象外</v>
      </c>
      <c r="AQ40" s="27" t="str">
        <f>VLOOKUP(Z40,【参考】数式用!$A$2:$O$57,15,FALSE)</f>
        <v>その他</v>
      </c>
    </row>
    <row r="41" spans="1:43" ht="49.9" customHeight="1">
      <c r="A41" s="384">
        <f t="shared" si="1"/>
        <v>7</v>
      </c>
      <c r="B41" s="631" t="s">
        <v>2412</v>
      </c>
      <c r="C41" s="632"/>
      <c r="D41" s="632"/>
      <c r="E41" s="632"/>
      <c r="F41" s="632"/>
      <c r="G41" s="632"/>
      <c r="H41" s="632"/>
      <c r="I41" s="632"/>
      <c r="J41" s="632"/>
      <c r="K41" s="633"/>
      <c r="L41" s="634" t="s">
        <v>39</v>
      </c>
      <c r="M41" s="635"/>
      <c r="N41" s="635"/>
      <c r="O41" s="635"/>
      <c r="P41" s="636"/>
      <c r="Q41" s="637" t="s">
        <v>4</v>
      </c>
      <c r="R41" s="637"/>
      <c r="S41" s="637"/>
      <c r="T41" s="637"/>
      <c r="U41" s="637"/>
      <c r="V41" s="378" t="s">
        <v>1371</v>
      </c>
      <c r="W41" s="638" t="s">
        <v>2411</v>
      </c>
      <c r="X41" s="639"/>
      <c r="Y41" s="640"/>
      <c r="Z41" s="641" t="s">
        <v>2337</v>
      </c>
      <c r="AA41" s="641"/>
      <c r="AB41" s="641"/>
      <c r="AC41" s="112" t="str">
        <f>IFERROR(VLOOKUP(Z41,【参考】数式用!$A$4:$B$57,2,FALSE),"")</f>
        <v>53</v>
      </c>
      <c r="AD41" s="288">
        <v>400000</v>
      </c>
      <c r="AE41" s="294">
        <v>20400</v>
      </c>
      <c r="AF41" s="291">
        <f t="shared" si="0"/>
        <v>379600</v>
      </c>
      <c r="AG41" s="527"/>
      <c r="AP41" s="102" t="str">
        <f>IF($L$16="", "", VLOOKUP(Z41,【参考】数式用!$A$2:$O$57,14,FALSE))</f>
        <v>加算対象外</v>
      </c>
      <c r="AQ41" s="27" t="str">
        <f>VLOOKUP(Z41,【参考】数式用!$A$2:$O$57,15,FALSE)</f>
        <v>その他</v>
      </c>
    </row>
    <row r="42" spans="1:43" ht="49.9" customHeight="1">
      <c r="A42" s="384">
        <f t="shared" si="1"/>
        <v>8</v>
      </c>
      <c r="B42" s="708" t="s">
        <v>2499</v>
      </c>
      <c r="C42" s="709"/>
      <c r="D42" s="709"/>
      <c r="E42" s="709"/>
      <c r="F42" s="709"/>
      <c r="G42" s="709"/>
      <c r="H42" s="709"/>
      <c r="I42" s="709"/>
      <c r="J42" s="709"/>
      <c r="K42" s="709"/>
      <c r="L42" s="707" t="s">
        <v>39</v>
      </c>
      <c r="M42" s="707"/>
      <c r="N42" s="707"/>
      <c r="O42" s="707"/>
      <c r="P42" s="707"/>
      <c r="Q42" s="637" t="s">
        <v>4</v>
      </c>
      <c r="R42" s="637"/>
      <c r="S42" s="637"/>
      <c r="T42" s="637"/>
      <c r="U42" s="637"/>
      <c r="V42" s="290" t="s">
        <v>1361</v>
      </c>
      <c r="W42" s="641" t="s">
        <v>2500</v>
      </c>
      <c r="X42" s="641"/>
      <c r="Y42" s="641"/>
      <c r="Z42" s="641" t="s">
        <v>2329</v>
      </c>
      <c r="AA42" s="641"/>
      <c r="AB42" s="641"/>
      <c r="AC42" s="112" t="str">
        <f>IFERROR(VLOOKUP(Z42,【参考】数式用!$A$4:$B$57,2,FALSE),"")</f>
        <v>22</v>
      </c>
      <c r="AD42" s="288">
        <v>500000</v>
      </c>
      <c r="AE42" s="294">
        <v>20000</v>
      </c>
      <c r="AF42" s="291">
        <f t="shared" si="0"/>
        <v>480000</v>
      </c>
      <c r="AG42" s="527"/>
      <c r="AP42" s="102" t="str">
        <f>IF($L$16="", "", VLOOKUP(Z42,【参考】数式用!$A$2:$O$57,14,FALSE))</f>
        <v>加算対象</v>
      </c>
      <c r="AQ42" s="27" t="str">
        <f>VLOOKUP(Z42,【参考】数式用!$A$2:$O$57,15,FALSE)</f>
        <v>介護予防</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e">
        <f>IF($L$16="", "", VLOOKUP(Z43,【参考】数式用!$A$2:$O$57,14,FALSE))</f>
        <v>#N/A</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e">
        <f>IF($L$16="", "", VLOOKUP(Z44,【参考】数式用!$A$2:$O$57,14,FALSE))</f>
        <v>#N/A</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e">
        <f>IF($L$16="", "", VLOOKUP(Z45,【参考】数式用!$A$2:$O$57,14,FALSE))</f>
        <v>#N/A</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e">
        <f>IF($L$16="", "", VLOOKUP(Z46,【参考】数式用!$A$2:$O$57,14,FALSE))</f>
        <v>#N/A</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e">
        <f>IF($L$16="", "", VLOOKUP(Z47,【参考】数式用!$A$2:$O$57,14,FALSE))</f>
        <v>#N/A</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e">
        <f>IF($L$16="", "", VLOOKUP(Z48,【参考】数式用!$A$2:$O$57,14,FALSE))</f>
        <v>#N/A</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e">
        <f>IF($L$16="", "", VLOOKUP(Z49,【参考】数式用!$A$2:$O$57,14,FALSE))</f>
        <v>#N/A</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e">
        <f>IF($L$16="", "", VLOOKUP(Z50,【参考】数式用!$A$2:$O$57,14,FALSE))</f>
        <v>#N/A</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e">
        <f>IF($L$16="", "", VLOOKUP(Z51,【参考】数式用!$A$2:$O$57,14,FALSE))</f>
        <v>#N/A</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e">
        <f>IF($L$16="", "", VLOOKUP(Z52,【参考】数式用!$A$2:$O$57,14,FALSE))</f>
        <v>#N/A</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e">
        <f>IF($L$16="", "", VLOOKUP(Z53,【参考】数式用!$A$2:$O$57,14,FALSE))</f>
        <v>#N/A</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e">
        <f>IF($L$16="", "", VLOOKUP(Z54,【参考】数式用!$A$2:$O$57,14,FALSE))</f>
        <v>#N/A</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e">
        <f>IF($L$16="", "", VLOOKUP(Z55,【参考】数式用!$A$2:$O$57,14,FALSE))</f>
        <v>#N/A</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e">
        <f>IF($L$16="", "", VLOOKUP(Z56,【参考】数式用!$A$2:$O$57,14,FALSE))</f>
        <v>#N/A</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e">
        <f>IF($L$16="", "", VLOOKUP(Z57,【参考】数式用!$A$2:$O$57,14,FALSE))</f>
        <v>#N/A</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e">
        <f>IF($L$16="", "", VLOOKUP(Z58,【参考】数式用!$A$2:$O$57,14,FALSE))</f>
        <v>#N/A</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e">
        <f>IF($L$16="", "", VLOOKUP(Z59,【参考】数式用!$A$2:$O$57,14,FALSE))</f>
        <v>#N/A</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e">
        <f>IF($L$16="", "", VLOOKUP(Z60,【参考】数式用!$A$2:$O$57,14,FALSE))</f>
        <v>#N/A</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e">
        <f>IF($L$16="", "", VLOOKUP(Z61,【参考】数式用!$A$2:$O$57,14,FALSE))</f>
        <v>#N/A</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e">
        <f>IF($L$16="", "", VLOOKUP(Z62,【参考】数式用!$A$2:$O$57,14,FALSE))</f>
        <v>#N/A</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e">
        <f>IF($L$16="", "", VLOOKUP(Z63,【参考】数式用!$A$2:$O$57,14,FALSE))</f>
        <v>#N/A</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e">
        <f>IF($L$16="", "", VLOOKUP(Z64,【参考】数式用!$A$2:$O$57,14,FALSE))</f>
        <v>#N/A</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e">
        <f>IF($L$16="", "", VLOOKUP(Z65,【参考】数式用!$A$2:$O$57,14,FALSE))</f>
        <v>#N/A</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e">
        <f>IF($L$16="", "", VLOOKUP(Z66,【参考】数式用!$A$2:$O$57,14,FALSE))</f>
        <v>#N/A</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e">
        <f>IF($L$16="", "", VLOOKUP(Z67,【参考】数式用!$A$2:$O$57,14,FALSE))</f>
        <v>#N/A</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e">
        <f>IF($L$16="", "", VLOOKUP(Z68,【参考】数式用!$A$2:$O$57,14,FALSE))</f>
        <v>#N/A</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e">
        <f>IF($L$16="", "", VLOOKUP(Z69,【参考】数式用!$A$2:$O$57,14,FALSE))</f>
        <v>#N/A</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e">
        <f>IF($L$16="", "", VLOOKUP(Z70,【参考】数式用!$A$2:$O$57,14,FALSE))</f>
        <v>#N/A</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e">
        <f>IF($L$16="", "", VLOOKUP(Z71,【参考】数式用!$A$2:$O$57,14,FALSE))</f>
        <v>#N/A</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e">
        <f>IF($L$16="", "", VLOOKUP(Z72,【参考】数式用!$A$2:$O$57,14,FALSE))</f>
        <v>#N/A</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e">
        <f>IF($L$16="", "", VLOOKUP(Z73,【参考】数式用!$A$2:$O$57,14,FALSE))</f>
        <v>#N/A</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e">
        <f>IF($L$16="", "", VLOOKUP(Z74,【参考】数式用!$A$2:$O$57,14,FALSE))</f>
        <v>#N/A</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e">
        <f>IF($L$16="", "", VLOOKUP(Z75,【参考】数式用!$A$2:$O$57,14,FALSE))</f>
        <v>#N/A</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e">
        <f>IF($L$16="", "", VLOOKUP(Z76,【参考】数式用!$A$2:$O$57,14,FALSE))</f>
        <v>#N/A</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e">
        <f>IF($L$16="", "", VLOOKUP(Z77,【参考】数式用!$A$2:$O$57,14,FALSE))</f>
        <v>#N/A</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e">
        <f>IF($L$16="", "", VLOOKUP(Z78,【参考】数式用!$A$2:$O$57,14,FALSE))</f>
        <v>#N/A</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e">
        <f>IF($L$16="", "", VLOOKUP(Z79,【参考】数式用!$A$2:$O$57,14,FALSE))</f>
        <v>#N/A</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e">
        <f>IF($L$16="", "", VLOOKUP(Z80,【参考】数式用!$A$2:$O$57,14,FALSE))</f>
        <v>#N/A</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e">
        <f>IF($L$16="", "", VLOOKUP(Z81,【参考】数式用!$A$2:$O$57,14,FALSE))</f>
        <v>#N/A</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e">
        <f>IF($L$16="", "", VLOOKUP(Z82,【参考】数式用!$A$2:$O$57,14,FALSE))</f>
        <v>#N/A</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e">
        <f>IF($L$16="", "", VLOOKUP(Z83,【参考】数式用!$A$2:$O$57,14,FALSE))</f>
        <v>#N/A</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e">
        <f>IF($L$16="", "", VLOOKUP(Z84,【参考】数式用!$A$2:$O$57,14,FALSE))</f>
        <v>#N/A</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e">
        <f>IF($L$16="", "", VLOOKUP(Z85,【参考】数式用!$A$2:$O$57,14,FALSE))</f>
        <v>#N/A</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e">
        <f>IF($L$16="", "", VLOOKUP(Z86,【参考】数式用!$A$2:$O$57,14,FALSE))</f>
        <v>#N/A</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e">
        <f>IF($L$16="", "", VLOOKUP(Z87,【参考】数式用!$A$2:$O$57,14,FALSE))</f>
        <v>#N/A</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e">
        <f>IF($L$16="", "", VLOOKUP(Z88,【参考】数式用!$A$2:$O$57,14,FALSE))</f>
        <v>#N/A</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e">
        <f>IF($L$16="", "", VLOOKUP(Z89,【参考】数式用!$A$2:$O$57,14,FALSE))</f>
        <v>#N/A</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e">
        <f>IF($L$16="", "", VLOOKUP(Z90,【参考】数式用!$A$2:$O$57,14,FALSE))</f>
        <v>#N/A</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e">
        <f>IF($L$16="", "", VLOOKUP(Z91,【参考】数式用!$A$2:$O$57,14,FALSE))</f>
        <v>#N/A</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e">
        <f>IF($L$16="", "", VLOOKUP(Z92,【参考】数式用!$A$2:$O$57,14,FALSE))</f>
        <v>#N/A</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e">
        <f>IF($L$16="", "", VLOOKUP(Z93,【参考】数式用!$A$2:$O$57,14,FALSE))</f>
        <v>#N/A</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e">
        <f>IF($L$16="", "", VLOOKUP(Z94,【参考】数式用!$A$2:$O$57,14,FALSE))</f>
        <v>#N/A</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e">
        <f>IF($L$16="", "", VLOOKUP(Z95,【参考】数式用!$A$2:$O$57,14,FALSE))</f>
        <v>#N/A</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e">
        <f>IF($L$16="", "", VLOOKUP(Z96,【参考】数式用!$A$2:$O$57,14,FALSE))</f>
        <v>#N/A</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e">
        <f>IF($L$16="", "", VLOOKUP(Z97,【参考】数式用!$A$2:$O$57,14,FALSE))</f>
        <v>#N/A</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e">
        <f>IF($L$16="", "", VLOOKUP(Z98,【参考】数式用!$A$2:$O$57,14,FALSE))</f>
        <v>#N/A</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e">
        <f>IF($L$16="", "", VLOOKUP(Z99,【参考】数式用!$A$2:$O$57,14,FALSE))</f>
        <v>#N/A</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e">
        <f>IF($L$16="", "", VLOOKUP(Z100,【参考】数式用!$A$2:$O$57,14,FALSE))</f>
        <v>#N/A</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e">
        <f>IF($L$16="", "", VLOOKUP(Z101,【参考】数式用!$A$2:$O$57,14,FALSE))</f>
        <v>#N/A</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e">
        <f>IF($L$16="", "", VLOOKUP(Z102,【参考】数式用!$A$2:$O$57,14,FALSE))</f>
        <v>#N/A</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e">
        <f>IF($L$16="", "", VLOOKUP(Z103,【参考】数式用!$A$2:$O$57,14,FALSE))</f>
        <v>#N/A</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e">
        <f>IF($L$16="", "", VLOOKUP(Z104,【参考】数式用!$A$2:$O$57,14,FALSE))</f>
        <v>#N/A</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e">
        <f>IF($L$16="", "", VLOOKUP(Z105,【参考】数式用!$A$2:$O$57,14,FALSE))</f>
        <v>#N/A</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e">
        <f>IF($L$16="", "", VLOOKUP(Z106,【参考】数式用!$A$2:$O$57,14,FALSE))</f>
        <v>#N/A</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e">
        <f>IF($L$16="", "", VLOOKUP(Z107,【参考】数式用!$A$2:$O$57,14,FALSE))</f>
        <v>#N/A</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e">
        <f>IF($L$16="", "", VLOOKUP(Z108,【参考】数式用!$A$2:$O$57,14,FALSE))</f>
        <v>#N/A</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e">
        <f>IF($L$16="", "", VLOOKUP(Z109,【参考】数式用!$A$2:$O$57,14,FALSE))</f>
        <v>#N/A</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e">
        <f>IF($L$16="", "", VLOOKUP(Z110,【参考】数式用!$A$2:$O$57,14,FALSE))</f>
        <v>#N/A</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e">
        <f>IF($L$16="", "", VLOOKUP(Z111,【参考】数式用!$A$2:$O$57,14,FALSE))</f>
        <v>#N/A</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e">
        <f>IF($L$16="", "", VLOOKUP(Z112,【参考】数式用!$A$2:$O$57,14,FALSE))</f>
        <v>#N/A</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e">
        <f>IF($L$16="", "", VLOOKUP(Z113,【参考】数式用!$A$2:$O$57,14,FALSE))</f>
        <v>#N/A</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e">
        <f>IF($L$16="", "", VLOOKUP(Z114,【参考】数式用!$A$2:$O$57,14,FALSE))</f>
        <v>#N/A</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e">
        <f>IF($L$16="", "", VLOOKUP(Z115,【参考】数式用!$A$2:$O$57,14,FALSE))</f>
        <v>#N/A</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e">
        <f>IF($L$16="", "", VLOOKUP(Z116,【参考】数式用!$A$2:$O$57,14,FALSE))</f>
        <v>#N/A</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e">
        <f>IF($L$16="", "", VLOOKUP(Z117,【参考】数式用!$A$2:$O$57,14,FALSE))</f>
        <v>#N/A</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e">
        <f>IF($L$16="", "", VLOOKUP(Z118,【参考】数式用!$A$2:$O$57,14,FALSE))</f>
        <v>#N/A</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e">
        <f>IF($L$16="", "", VLOOKUP(Z119,【参考】数式用!$A$2:$O$57,14,FALSE))</f>
        <v>#N/A</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e">
        <f>IF($L$16="", "", VLOOKUP(Z120,【参考】数式用!$A$2:$O$57,14,FALSE))</f>
        <v>#N/A</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e">
        <f>IF($L$16="", "", VLOOKUP(Z121,【参考】数式用!$A$2:$O$57,14,FALSE))</f>
        <v>#N/A</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e">
        <f>IF($L$16="", "", VLOOKUP(Z122,【参考】数式用!$A$2:$O$57,14,FALSE))</f>
        <v>#N/A</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e">
        <f>IF($L$16="", "", VLOOKUP(Z123,【参考】数式用!$A$2:$O$57,14,FALSE))</f>
        <v>#N/A</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e">
        <f>IF($L$16="", "", VLOOKUP(Z124,【参考】数式用!$A$2:$O$57,14,FALSE))</f>
        <v>#N/A</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e">
        <f>IF($L$16="", "", VLOOKUP(Z125,【参考】数式用!$A$2:$O$57,14,FALSE))</f>
        <v>#N/A</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e">
        <f>IF($L$16="", "", VLOOKUP(Z126,【参考】数式用!$A$2:$O$57,14,FALSE))</f>
        <v>#N/A</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e">
        <f>IF($L$16="", "", VLOOKUP(Z127,【参考】数式用!$A$2:$O$57,14,FALSE))</f>
        <v>#N/A</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e">
        <f>IF($L$16="", "", VLOOKUP(Z128,【参考】数式用!$A$2:$O$57,14,FALSE))</f>
        <v>#N/A</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e">
        <f>IF($L$16="", "", VLOOKUP(Z129,【参考】数式用!$A$2:$O$57,14,FALSE))</f>
        <v>#N/A</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e">
        <f>IF($L$16="", "", VLOOKUP(Z130,【参考】数式用!$A$2:$O$57,14,FALSE))</f>
        <v>#N/A</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e">
        <f>IF($L$16="", "", VLOOKUP(Z131,【参考】数式用!$A$2:$O$57,14,FALSE))</f>
        <v>#N/A</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e">
        <f>IF($L$16="", "", VLOOKUP(Z132,【参考】数式用!$A$2:$O$57,14,FALSE))</f>
        <v>#N/A</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e">
        <f>IF($L$16="", "", VLOOKUP(Z133,【参考】数式用!$A$2:$O$57,14,FALSE))</f>
        <v>#N/A</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e">
        <f>IF($L$16="", "", VLOOKUP(Z134,【参考】数式用!$A$2:$O$57,14,FALSE))</f>
        <v>#N/A</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tabSelected="1" view="pageBreakPreview" zoomScale="110" zoomScaleNormal="120" zoomScaleSheetLayoutView="110" zoomScalePageLayoutView="64" workbookViewId="0">
      <selection activeCell="AI64" sqref="AI64:AJ64"/>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東京都</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2234</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○○サービスジギョウショ</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46</v>
      </c>
      <c r="C6" s="939"/>
      <c r="D6" s="939"/>
      <c r="E6" s="939"/>
      <c r="F6" s="939"/>
      <c r="G6" s="939"/>
      <c r="H6" s="940" t="str">
        <f>IF(基本情報入力シート!L16="","",基本情報入力シート!L16)</f>
        <v>○○サービス事業所</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47</v>
      </c>
      <c r="C7" s="927"/>
      <c r="D7" s="927"/>
      <c r="E7" s="927"/>
      <c r="F7" s="927"/>
      <c r="G7" s="927"/>
      <c r="H7" s="120" t="s">
        <v>11</v>
      </c>
      <c r="I7" s="928" t="str">
        <f>IF(基本情報入力シート!AO18="－","",基本情報入力シート!AO18)</f>
        <v>100-１２３４</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東京都千代田区霞が関1-2-2</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○○ビル○○号室</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コウロウ　ハナコ</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48</v>
      </c>
      <c r="C11" s="919"/>
      <c r="D11" s="919"/>
      <c r="E11" s="919"/>
      <c r="F11" s="919"/>
      <c r="G11" s="919"/>
      <c r="H11" s="920" t="str">
        <f>IF(基本情報入力シート!L24="","",基本情報入力シート!L24)</f>
        <v>厚労　花子</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49</v>
      </c>
      <c r="C12" s="922"/>
      <c r="D12" s="922"/>
      <c r="E12" s="922"/>
      <c r="F12" s="922"/>
      <c r="G12" s="922"/>
      <c r="H12" s="922" t="s">
        <v>26</v>
      </c>
      <c r="I12" s="923"/>
      <c r="J12" s="923"/>
      <c r="K12" s="923"/>
      <c r="L12" s="924" t="str">
        <f>IF(基本情報入力シート!L25="","",基本情報入力シート!L25)</f>
        <v>03-3571-XXXX</v>
      </c>
      <c r="M12" s="924"/>
      <c r="N12" s="924"/>
      <c r="O12" s="924"/>
      <c r="P12" s="924"/>
      <c r="Q12" s="924"/>
      <c r="R12" s="924"/>
      <c r="S12" s="924"/>
      <c r="T12" s="924"/>
      <c r="U12" s="924"/>
      <c r="V12" s="925" t="s">
        <v>27</v>
      </c>
      <c r="W12" s="925"/>
      <c r="X12" s="925"/>
      <c r="Y12" s="925"/>
      <c r="Z12" s="924" t="str">
        <f>IF(基本情報入力シート!L26="","",基本情報入力シート!L26)</f>
        <v>aaa@aaa.aa.jp</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51</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892" t="s">
        <v>53</v>
      </c>
      <c r="D16" s="892"/>
      <c r="E16" s="892"/>
      <c r="F16" s="892"/>
      <c r="G16" s="892"/>
      <c r="H16" s="892"/>
      <c r="I16" s="892"/>
      <c r="J16" s="892"/>
      <c r="K16" s="892"/>
      <c r="L16" s="892"/>
      <c r="M16" s="892"/>
      <c r="N16" s="892"/>
      <c r="O16" s="892"/>
      <c r="P16" s="892"/>
      <c r="Q16" s="912">
        <f>SUM('別紙様式2-2（個票（４、５月））'!L5:N5,'別紙様式2-3（個票（６月以降））'!K6)</f>
        <v>37754478</v>
      </c>
      <c r="R16" s="913"/>
      <c r="S16" s="913"/>
      <c r="T16" s="913"/>
      <c r="U16" s="913"/>
      <c r="V16" s="914"/>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2461</v>
      </c>
      <c r="D17" s="783"/>
      <c r="E17" s="783"/>
      <c r="F17" s="783"/>
      <c r="G17" s="783"/>
      <c r="H17" s="783"/>
      <c r="I17" s="783"/>
      <c r="J17" s="783"/>
      <c r="K17" s="783"/>
      <c r="L17" s="783"/>
      <c r="M17" s="783"/>
      <c r="N17" s="783"/>
      <c r="O17" s="783"/>
      <c r="P17" s="783"/>
      <c r="Q17" s="912">
        <f>SUM('別紙様式2-2（個票（４、５月））'!L7:N7,'別紙様式2-3（個票（６月以降））'!K8:O8)</f>
        <v>9174220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917" t="s">
        <v>2236</v>
      </c>
      <c r="D18" s="917"/>
      <c r="E18" s="917"/>
      <c r="F18" s="917"/>
      <c r="G18" s="917"/>
      <c r="H18" s="917"/>
      <c r="I18" s="917"/>
      <c r="J18" s="917"/>
      <c r="K18" s="917"/>
      <c r="L18" s="917"/>
      <c r="M18" s="917"/>
      <c r="N18" s="917"/>
      <c r="O18" s="917"/>
      <c r="P18" s="917"/>
      <c r="Q18" s="918">
        <v>1000000000</v>
      </c>
      <c r="R18" s="918"/>
      <c r="S18" s="918"/>
      <c r="T18" s="918"/>
      <c r="U18" s="918"/>
      <c r="V18" s="918"/>
      <c r="W18" s="129" t="s">
        <v>54</v>
      </c>
      <c r="X18" s="23" t="s">
        <v>56</v>
      </c>
      <c r="Y18" s="537"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2237</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2238</v>
      </c>
      <c r="C21" s="783" t="s">
        <v>2239</v>
      </c>
      <c r="D21" s="783"/>
      <c r="E21" s="783"/>
      <c r="F21" s="783"/>
      <c r="G21" s="783"/>
      <c r="H21" s="783"/>
      <c r="I21" s="783"/>
      <c r="J21" s="783"/>
      <c r="K21" s="783"/>
      <c r="L21" s="783"/>
      <c r="M21" s="783"/>
      <c r="N21" s="783"/>
      <c r="O21" s="783"/>
      <c r="P21" s="731"/>
      <c r="Q21" s="900">
        <f>Q17</f>
        <v>9174220</v>
      </c>
      <c r="R21" s="901"/>
      <c r="S21" s="901"/>
      <c r="T21" s="901"/>
      <c r="U21" s="901"/>
      <c r="V21" s="902"/>
      <c r="W21" s="125" t="s">
        <v>54</v>
      </c>
      <c r="X21" s="23" t="s">
        <v>56</v>
      </c>
      <c r="Y21" s="903" t="str">
        <f>IFERROR(IF(Q21&lt;=0,"",IF(Q22&gt;=Q21,"○","×")),"")</f>
        <v>×</v>
      </c>
      <c r="Z21" s="23" t="s">
        <v>56</v>
      </c>
      <c r="AA21" s="894"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83" t="s">
        <v>2241</v>
      </c>
      <c r="D22" s="783"/>
      <c r="E22" s="783"/>
      <c r="F22" s="783"/>
      <c r="G22" s="783"/>
      <c r="H22" s="783"/>
      <c r="I22" s="783"/>
      <c r="J22" s="783"/>
      <c r="K22" s="783"/>
      <c r="L22" s="783"/>
      <c r="M22" s="783"/>
      <c r="N22" s="783"/>
      <c r="O22" s="783"/>
      <c r="P22" s="731"/>
      <c r="Q22" s="907">
        <v>9116610</v>
      </c>
      <c r="R22" s="908"/>
      <c r="S22" s="908"/>
      <c r="T22" s="908"/>
      <c r="U22" s="908"/>
      <c r="V22" s="909"/>
      <c r="W22" s="125" t="s">
        <v>54</v>
      </c>
      <c r="X22" s="23" t="s">
        <v>56</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2242</v>
      </c>
      <c r="C23" s="783" t="s">
        <v>2243</v>
      </c>
      <c r="D23" s="783"/>
      <c r="E23" s="783"/>
      <c r="F23" s="783"/>
      <c r="G23" s="783"/>
      <c r="H23" s="783"/>
      <c r="I23" s="783"/>
      <c r="J23" s="783"/>
      <c r="K23" s="783"/>
      <c r="L23" s="783"/>
      <c r="M23" s="783"/>
      <c r="N23" s="783"/>
      <c r="O23" s="783"/>
      <c r="P23" s="731"/>
      <c r="Q23" s="907">
        <v>500000</v>
      </c>
      <c r="R23" s="908"/>
      <c r="S23" s="908"/>
      <c r="T23" s="908"/>
      <c r="U23" s="908"/>
      <c r="V23" s="909"/>
      <c r="W23" s="125" t="s">
        <v>54</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2244</v>
      </c>
      <c r="C24" s="783" t="s">
        <v>2245</v>
      </c>
      <c r="D24" s="783"/>
      <c r="E24" s="783"/>
      <c r="F24" s="783"/>
      <c r="G24" s="783"/>
      <c r="H24" s="783"/>
      <c r="I24" s="783"/>
      <c r="J24" s="783"/>
      <c r="K24" s="783"/>
      <c r="L24" s="783"/>
      <c r="M24" s="783"/>
      <c r="N24" s="783"/>
      <c r="O24" s="783"/>
      <c r="P24" s="731"/>
      <c r="Q24" s="886">
        <f>Q22+Q23</f>
        <v>9616610</v>
      </c>
      <c r="R24" s="887"/>
      <c r="S24" s="887"/>
      <c r="T24" s="887"/>
      <c r="U24" s="887"/>
      <c r="V24" s="888"/>
      <c r="W24" s="125" t="s">
        <v>54</v>
      </c>
      <c r="X24" s="18"/>
      <c r="Y24" s="18"/>
      <c r="Z24" s="18" t="s">
        <v>56</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89" t="s">
        <v>2246</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2235</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59</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60</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892" t="s">
        <v>61</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14994443</v>
      </c>
      <c r="U31" s="893"/>
      <c r="V31" s="893"/>
      <c r="W31" s="893"/>
      <c r="X31" s="893"/>
      <c r="Y31" s="893"/>
      <c r="Z31" s="128" t="s">
        <v>54</v>
      </c>
      <c r="AA31" s="29" t="s">
        <v>56</v>
      </c>
      <c r="AB31" s="894" t="str">
        <f>IF(H6="", "", IFERROR(IF(T32&gt;=T31,"○","×"),""))</f>
        <v>○</v>
      </c>
      <c r="AC31" s="141"/>
      <c r="AD31" s="142"/>
      <c r="AE31" s="142"/>
      <c r="AF31" s="142"/>
      <c r="AG31" s="142"/>
      <c r="AH31" s="142"/>
      <c r="AI31" s="142"/>
      <c r="AJ31" s="142"/>
      <c r="AK31" s="142"/>
      <c r="AL31" s="18"/>
      <c r="AM31" s="816" t="s">
        <v>62</v>
      </c>
      <c r="AN31" s="817"/>
      <c r="AO31" s="817"/>
      <c r="AP31" s="817"/>
      <c r="AQ31" s="817"/>
      <c r="AR31" s="817"/>
      <c r="AS31" s="817"/>
      <c r="AT31" s="817"/>
      <c r="AU31" s="817"/>
      <c r="AV31" s="817"/>
      <c r="AW31" s="817"/>
      <c r="AX31" s="817"/>
      <c r="AY31" s="818"/>
    </row>
    <row r="32" spans="1:51" ht="28.5" customHeight="1" thickBot="1">
      <c r="A32" s="18"/>
      <c r="B32" s="140" t="s">
        <v>55</v>
      </c>
      <c r="C32" s="783" t="s">
        <v>63</v>
      </c>
      <c r="D32" s="783"/>
      <c r="E32" s="783"/>
      <c r="F32" s="783"/>
      <c r="G32" s="783"/>
      <c r="H32" s="783"/>
      <c r="I32" s="783"/>
      <c r="J32" s="783"/>
      <c r="K32" s="783"/>
      <c r="L32" s="783"/>
      <c r="M32" s="783"/>
      <c r="N32" s="783"/>
      <c r="O32" s="783"/>
      <c r="P32" s="783"/>
      <c r="Q32" s="783"/>
      <c r="R32" s="783"/>
      <c r="S32" s="783"/>
      <c r="T32" s="882">
        <v>100000000</v>
      </c>
      <c r="U32" s="882"/>
      <c r="V32" s="882"/>
      <c r="W32" s="882"/>
      <c r="X32" s="882"/>
      <c r="Y32" s="883"/>
      <c r="Z32" s="126" t="s">
        <v>54</v>
      </c>
      <c r="AA32" s="29" t="s">
        <v>56</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58</v>
      </c>
      <c r="C35" s="884" t="s">
        <v>64</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45" customHeight="1" thickBot="1">
      <c r="A37" s="57"/>
      <c r="B37" s="652" t="s">
        <v>65</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66</v>
      </c>
      <c r="BB37" s="885"/>
      <c r="BC37" s="885"/>
      <c r="BD37" s="885"/>
      <c r="BE37" s="885" t="s">
        <v>66</v>
      </c>
      <c r="BF37" s="885"/>
      <c r="BG37" s="885"/>
      <c r="BH37" s="885"/>
      <c r="BI37" s="942" t="s">
        <v>2502</v>
      </c>
      <c r="BJ37" s="943"/>
      <c r="BK37" s="943"/>
      <c r="BL37" s="943"/>
      <c r="BM37" s="943"/>
      <c r="BN37" s="944"/>
    </row>
    <row r="38" spans="1:66" s="13" customFormat="1" ht="18" customHeight="1" thickBot="1">
      <c r="A38" s="19"/>
      <c r="B38" s="736" t="s">
        <v>2203</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6</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6</v>
      </c>
      <c r="BF38" s="952"/>
      <c r="BG38" s="952"/>
      <c r="BH38" s="952"/>
      <c r="BI38" s="945">
        <f>COUNTIF('別紙様式2-3（個票（６月以降））'!BR13:BR113,"対象")</f>
        <v>1</v>
      </c>
      <c r="BJ38" s="946"/>
      <c r="BK38" s="946"/>
      <c r="BL38" s="946"/>
      <c r="BM38" s="946"/>
      <c r="BN38" s="947"/>
    </row>
    <row r="39" spans="1:66" s="13" customFormat="1" ht="33" customHeight="1" thickBot="1">
      <c r="A39" s="19"/>
      <c r="B39" s="733" t="s">
        <v>67</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t="s">
        <v>30</v>
      </c>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652" t="s">
        <v>68</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69</v>
      </c>
      <c r="BB41" s="951"/>
      <c r="BC41" s="951"/>
      <c r="BD41" s="951"/>
      <c r="BE41" s="951" t="s">
        <v>69</v>
      </c>
      <c r="BF41" s="951"/>
      <c r="BG41" s="951"/>
      <c r="BH41" s="951"/>
    </row>
    <row r="42" spans="1:66" s="13" customFormat="1" ht="18" customHeight="1" thickBot="1">
      <c r="A42" s="19"/>
      <c r="B42" s="733" t="s">
        <v>2207</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4</v>
      </c>
      <c r="BB42" s="878"/>
      <c r="BC42" s="878"/>
      <c r="BD42" s="878"/>
      <c r="BE42" s="952">
        <f>COUNTIF('別紙様式2-3（個票（６月以降））'!O:O,"*処遇改善加算Ⅰ*")+COUNTIF('別紙様式2-3（個票（６月以降））'!O:O,"*処遇改善加算Ⅱ*")+COUNTIF('別紙様式2-3（個票（６月以降））'!O:O,"処遇改善加算Ⅲ")</f>
        <v>6</v>
      </c>
      <c r="BF42" s="952"/>
      <c r="BG42" s="952"/>
      <c r="BH42" s="952"/>
    </row>
    <row r="43" spans="1:66" s="13" customFormat="1" ht="30.6" customHeight="1" thickBot="1">
      <c r="A43" s="19"/>
      <c r="B43" s="733" t="s">
        <v>70</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t="s">
        <v>30</v>
      </c>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876" t="s">
        <v>71</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72</v>
      </c>
      <c r="BB45" s="878"/>
      <c r="BC45" s="878"/>
      <c r="BD45" s="878"/>
      <c r="BE45" s="878" t="s">
        <v>72</v>
      </c>
      <c r="BF45" s="878"/>
      <c r="BG45" s="878"/>
      <c r="BH45" s="878"/>
    </row>
    <row r="46" spans="1:66" ht="18" customHeight="1" thickBot="1">
      <c r="A46" s="18"/>
      <c r="B46" s="879" t="s">
        <v>2204</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2</v>
      </c>
      <c r="BB46" s="880"/>
      <c r="BC46" s="880"/>
      <c r="BD46" s="880"/>
      <c r="BE46" s="881">
        <f>COUNTIF('別紙様式2-3（個票（６月以降））'!O:O,"*処遇改善加算Ⅰ*")+COUNTIF('別紙様式2-3（個票（６月以降））'!O:O,"*処遇改善加算Ⅱ*")</f>
        <v>3</v>
      </c>
      <c r="BF46" s="881"/>
      <c r="BG46" s="881"/>
      <c r="BH46" s="881"/>
    </row>
    <row r="47" spans="1:66" ht="30.6" customHeight="1" thickBot="1">
      <c r="A47" s="18"/>
      <c r="B47" s="733" t="s">
        <v>2470</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2247</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73</v>
      </c>
      <c r="BB50" s="873"/>
      <c r="BC50" s="873"/>
      <c r="BD50" s="873"/>
      <c r="BE50" s="873" t="s">
        <v>73</v>
      </c>
      <c r="BF50" s="873"/>
      <c r="BG50" s="873"/>
      <c r="BH50" s="873"/>
    </row>
    <row r="51" spans="1:60" ht="18" customHeight="1" thickBot="1">
      <c r="A51" s="18"/>
      <c r="B51" s="874" t="s">
        <v>2205</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75">
        <f>COUNTIF('別紙様式2-2（個票（４、５月））'!O13:O113,"処遇改善加算Ⅰ")</f>
        <v>1</v>
      </c>
      <c r="BB51" s="875"/>
      <c r="BC51" s="875"/>
      <c r="BD51" s="875"/>
      <c r="BE51" s="875">
        <f>COUNTIF('別紙様式2-3（個票（６月以降））'!O13:O113,"*処遇改善加算Ⅰ*")</f>
        <v>2</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74</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75</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2190</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2191</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該当</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856" t="s">
        <v>2527</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該当</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856" t="s">
        <v>2471</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2503</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該当</v>
      </c>
      <c r="AJ64" s="872"/>
      <c r="AK64" s="581"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45" customHeight="1">
      <c r="A65" s="18"/>
      <c r="B65" s="161" t="s">
        <v>77</v>
      </c>
      <c r="C65" s="856" t="s">
        <v>2504</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78</v>
      </c>
      <c r="C67" s="858"/>
      <c r="D67" s="859"/>
      <c r="E67" s="860" t="s">
        <v>79</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80</v>
      </c>
    </row>
    <row r="68" spans="1:53" ht="15.6" customHeight="1">
      <c r="A68" s="18"/>
      <c r="B68" s="688" t="s">
        <v>81</v>
      </c>
      <c r="C68" s="689"/>
      <c r="D68" s="689"/>
      <c r="E68" s="840" t="s">
        <v>267</v>
      </c>
      <c r="F68" s="841"/>
      <c r="G68" s="825" t="s">
        <v>2248</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！この区分（４項目）から２つ以上の取組が選択されていません。</v>
      </c>
      <c r="AN68" s="817"/>
      <c r="AO68" s="817"/>
      <c r="AP68" s="817"/>
      <c r="AQ68" s="817"/>
      <c r="AR68" s="817"/>
      <c r="AS68" s="817"/>
      <c r="AT68" s="817"/>
      <c r="AU68" s="817"/>
      <c r="AV68" s="817"/>
      <c r="AW68" s="817"/>
      <c r="AX68" s="818"/>
      <c r="AY68" s="19"/>
      <c r="AZ68" s="13"/>
      <c r="BA68" s="822">
        <f>COUNTIF(E68:F71, "✓")+COUNTIF(E68:F71, "誓約")</f>
        <v>2</v>
      </c>
    </row>
    <row r="69" spans="1:53" ht="15" customHeight="1" thickBot="1">
      <c r="A69" s="18"/>
      <c r="B69" s="691"/>
      <c r="C69" s="692"/>
      <c r="D69" s="692"/>
      <c r="E69" s="823"/>
      <c r="F69" s="824"/>
      <c r="G69" s="825" t="s">
        <v>82</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t="s">
        <v>30</v>
      </c>
      <c r="F70" s="824"/>
      <c r="G70" s="825" t="s">
        <v>2249</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2250</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83</v>
      </c>
      <c r="C72" s="689"/>
      <c r="D72" s="689"/>
      <c r="E72" s="840" t="s">
        <v>30</v>
      </c>
      <c r="F72" s="841"/>
      <c r="G72" s="825" t="s">
        <v>2251</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！この区分（４項目）から２つ以上の取組が選択されていません。</v>
      </c>
      <c r="AN72" s="817"/>
      <c r="AO72" s="817"/>
      <c r="AP72" s="817"/>
      <c r="AQ72" s="817"/>
      <c r="AR72" s="817"/>
      <c r="AS72" s="817"/>
      <c r="AT72" s="817"/>
      <c r="AU72" s="817"/>
      <c r="AV72" s="817"/>
      <c r="AW72" s="817"/>
      <c r="AX72" s="818"/>
      <c r="AY72" s="19"/>
      <c r="AZ72" s="13"/>
      <c r="BA72" s="822">
        <f>COUNTIF(E72:F75, "✓")+COUNTIF(E72:F75, "誓約")</f>
        <v>2</v>
      </c>
    </row>
    <row r="73" spans="1:53" ht="15" customHeight="1" thickBot="1">
      <c r="A73" s="18"/>
      <c r="B73" s="691"/>
      <c r="C73" s="692"/>
      <c r="D73" s="692"/>
      <c r="E73" s="823" t="s">
        <v>30</v>
      </c>
      <c r="F73" s="824"/>
      <c r="G73" s="825" t="s">
        <v>2252</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84</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85</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86</v>
      </c>
      <c r="C76" s="689"/>
      <c r="D76" s="834"/>
      <c r="E76" s="840"/>
      <c r="F76" s="841"/>
      <c r="G76" s="825" t="s">
        <v>2253</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！この区分（４項目）から２つ以上の取組が選択されていません。</v>
      </c>
      <c r="AN76" s="817"/>
      <c r="AO76" s="817"/>
      <c r="AP76" s="817"/>
      <c r="AQ76" s="817"/>
      <c r="AR76" s="817"/>
      <c r="AS76" s="817"/>
      <c r="AT76" s="817"/>
      <c r="AU76" s="817"/>
      <c r="AV76" s="817"/>
      <c r="AW76" s="817"/>
      <c r="AX76" s="818"/>
      <c r="AY76" s="19"/>
      <c r="AZ76" s="13"/>
      <c r="BA76" s="822">
        <f>COUNTIF(E76:F80, "✓")+COUNTIF(E76:F80, "誓約")</f>
        <v>2</v>
      </c>
    </row>
    <row r="77" spans="1:53" ht="28.15" customHeight="1" thickBot="1">
      <c r="A77" s="18"/>
      <c r="B77" s="691"/>
      <c r="C77" s="835"/>
      <c r="D77" s="836"/>
      <c r="E77" s="823" t="s">
        <v>30</v>
      </c>
      <c r="F77" s="824"/>
      <c r="G77" s="825" t="s">
        <v>87</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2254</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t="s">
        <v>30</v>
      </c>
      <c r="F79" s="847"/>
      <c r="G79" s="825" t="s">
        <v>2255</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2256</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！この区分（４項目）から２つ以上の取組が選択されていません。</v>
      </c>
      <c r="AN80" s="817"/>
      <c r="AO80" s="817"/>
      <c r="AP80" s="817"/>
      <c r="AQ80" s="817"/>
      <c r="AR80" s="817"/>
      <c r="AS80" s="817"/>
      <c r="AT80" s="817"/>
      <c r="AU80" s="817"/>
      <c r="AV80" s="817"/>
      <c r="AW80" s="817"/>
      <c r="AX80" s="818"/>
      <c r="AY80" s="19"/>
      <c r="AZ80" s="13"/>
      <c r="BA80" s="822">
        <f>COUNTIF(E81:F84, "✓")+COUNTIF(E81:F84, "誓約")</f>
        <v>2</v>
      </c>
    </row>
    <row r="81" spans="1:53" ht="32.450000000000003" customHeight="1" thickBot="1">
      <c r="A81" s="18"/>
      <c r="B81" s="688" t="s">
        <v>88</v>
      </c>
      <c r="C81" s="689"/>
      <c r="D81" s="834"/>
      <c r="E81" s="823"/>
      <c r="F81" s="824"/>
      <c r="G81" s="825" t="s">
        <v>2257</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2258</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t="s">
        <v>30</v>
      </c>
      <c r="F83" s="847"/>
      <c r="G83" s="825" t="s">
        <v>2263</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t="s">
        <v>30</v>
      </c>
      <c r="F84" s="829"/>
      <c r="G84" s="825" t="s">
        <v>2259</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1</v>
      </c>
    </row>
    <row r="85" spans="1:53" ht="15" customHeight="1" thickBot="1">
      <c r="A85" s="18"/>
      <c r="B85" s="688" t="s">
        <v>89</v>
      </c>
      <c r="C85" s="689"/>
      <c r="D85" s="834"/>
      <c r="E85" s="823" t="s">
        <v>267</v>
      </c>
      <c r="F85" s="824"/>
      <c r="G85" s="825" t="s">
        <v>90</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91</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！この区分（８項目）から３つ以上の取組が選択されていません。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92</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2260</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93</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2264</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94</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t="s">
        <v>267</v>
      </c>
      <c r="F92" s="829"/>
      <c r="G92" s="831" t="s">
        <v>95</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96</v>
      </c>
      <c r="C93" s="689"/>
      <c r="D93" s="834"/>
      <c r="E93" s="840" t="s">
        <v>30</v>
      </c>
      <c r="F93" s="841"/>
      <c r="G93" s="825" t="s">
        <v>2265</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！この区分（４項目）から２つ以上の取組が選択されていません。</v>
      </c>
      <c r="AN93" s="817"/>
      <c r="AO93" s="817"/>
      <c r="AP93" s="817"/>
      <c r="AQ93" s="817"/>
      <c r="AR93" s="817"/>
      <c r="AS93" s="817"/>
      <c r="AT93" s="817"/>
      <c r="AU93" s="817"/>
      <c r="AV93" s="817"/>
      <c r="AW93" s="817"/>
      <c r="AX93" s="818"/>
      <c r="AY93" s="19"/>
      <c r="AZ93" s="13"/>
      <c r="BA93" s="822">
        <f>COUNTIF(E93:F96, "✓")+COUNTIF(E93:F96, "誓約")</f>
        <v>2</v>
      </c>
    </row>
    <row r="94" spans="1:53" ht="27.75" customHeight="1" thickBot="1">
      <c r="A94" s="18"/>
      <c r="B94" s="691"/>
      <c r="C94" s="835"/>
      <c r="D94" s="836"/>
      <c r="E94" s="823" t="s">
        <v>30</v>
      </c>
      <c r="F94" s="824"/>
      <c r="G94" s="825" t="s">
        <v>2266</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2261</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2262</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97</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796" t="s">
        <v>2194</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v>
      </c>
      <c r="AL99" s="18"/>
      <c r="AY99" s="167"/>
    </row>
    <row r="100" spans="1:56" s="167" customFormat="1" ht="30.6" customHeight="1">
      <c r="A100" s="165"/>
      <c r="B100" s="798" t="s">
        <v>99</v>
      </c>
      <c r="C100" s="799"/>
      <c r="D100" s="799"/>
      <c r="E100" s="800" t="b">
        <v>0</v>
      </c>
      <c r="F100" s="626"/>
      <c r="G100" s="804" t="s">
        <v>2267</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98</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t="s">
        <v>30</v>
      </c>
      <c r="G101" s="812" t="s">
        <v>100</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66</v>
      </c>
      <c r="BB103" s="784"/>
      <c r="BC103" s="784"/>
      <c r="BD103" s="784"/>
    </row>
    <row r="104" spans="1:56" ht="27.6"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2528</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2476</v>
      </c>
      <c r="C108" s="734" t="s">
        <v>2477</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743702</v>
      </c>
      <c r="X108" s="795"/>
      <c r="Y108" s="795"/>
      <c r="Z108" s="795"/>
      <c r="AA108" s="574" t="s">
        <v>54</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55</v>
      </c>
      <c r="C109" s="783" t="s">
        <v>2509</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11979009</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2521</v>
      </c>
      <c r="C110" s="783" t="s">
        <v>2524</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12722711</v>
      </c>
      <c r="X110" s="795"/>
      <c r="Y110" s="795"/>
      <c r="Z110" s="949"/>
      <c r="AA110" s="574"/>
      <c r="AB110" s="78" t="s">
        <v>56</v>
      </c>
      <c r="AC110" s="894"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2523</v>
      </c>
      <c r="C111" s="731" t="s">
        <v>2522</v>
      </c>
      <c r="D111" s="732"/>
      <c r="E111" s="732"/>
      <c r="F111" s="732"/>
      <c r="G111" s="732"/>
      <c r="H111" s="732"/>
      <c r="I111" s="732"/>
      <c r="J111" s="732"/>
      <c r="K111" s="732"/>
      <c r="L111" s="732"/>
      <c r="M111" s="732"/>
      <c r="N111" s="732"/>
      <c r="O111" s="732"/>
      <c r="P111" s="732"/>
      <c r="Q111" s="732"/>
      <c r="R111" s="732"/>
      <c r="S111" s="732"/>
      <c r="T111" s="732"/>
      <c r="U111" s="732"/>
      <c r="V111" s="733"/>
      <c r="W111" s="815">
        <f>T32</f>
        <v>100000000</v>
      </c>
      <c r="X111" s="815"/>
      <c r="Y111" s="815"/>
      <c r="Z111" s="815"/>
      <c r="AA111" s="574" t="s">
        <v>54</v>
      </c>
      <c r="AB111" s="78" t="s">
        <v>56</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103</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104</v>
      </c>
      <c r="AF115" s="788"/>
      <c r="AG115" s="788"/>
      <c r="AH115" s="788"/>
      <c r="AI115" s="788"/>
      <c r="AJ115" s="789"/>
      <c r="AK115" s="537" t="str">
        <f>IF(H6="", "", IF(AND(BA116=TRUE,OR(BA117=TRUE),BA118=TRUE,BA119=TRUE, BA121=TRUE, BA120=TRUE,BA122=TRUE),"○","×"))</f>
        <v>○</v>
      </c>
      <c r="AL115" s="18"/>
      <c r="AM115" s="790" t="s">
        <v>105</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2214</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106</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1</v>
      </c>
      <c r="BB116" s="177"/>
    </row>
    <row r="117" spans="1:54" s="13" customFormat="1" ht="37.15" customHeight="1">
      <c r="A117" s="19"/>
      <c r="B117" s="178"/>
      <c r="C117" s="782" t="s">
        <v>2269</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106</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1</v>
      </c>
    </row>
    <row r="118" spans="1:54" s="13" customFormat="1" ht="36.6" customHeight="1">
      <c r="A118" s="19"/>
      <c r="B118" s="178"/>
      <c r="C118" s="770" t="s">
        <v>2196</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107</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1</v>
      </c>
    </row>
    <row r="119" spans="1:54" s="13" customFormat="1" ht="28.9" customHeight="1">
      <c r="A119" s="19"/>
      <c r="B119" s="178"/>
      <c r="C119" s="770" t="s">
        <v>108</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109</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770" t="s">
        <v>110</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111</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775" t="s">
        <v>112</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113</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770" t="s">
        <v>114</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109</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764" t="s">
        <v>2466</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117</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766">
        <v>8</v>
      </c>
      <c r="F131" s="767"/>
      <c r="G131" s="187" t="s">
        <v>119</v>
      </c>
      <c r="H131" s="766">
        <v>4</v>
      </c>
      <c r="I131" s="767"/>
      <c r="J131" s="187" t="s">
        <v>120</v>
      </c>
      <c r="K131" s="766">
        <v>1</v>
      </c>
      <c r="L131" s="767"/>
      <c r="M131" s="187" t="s">
        <v>121</v>
      </c>
      <c r="N131" s="15"/>
      <c r="O131" s="768" t="s">
        <v>46</v>
      </c>
      <c r="P131" s="768"/>
      <c r="Q131" s="768"/>
      <c r="R131" s="769" t="str">
        <f>IF(H6="","",H6)</f>
        <v>○○サービス事業所</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122</v>
      </c>
      <c r="O132" s="760"/>
      <c r="P132" s="760"/>
      <c r="Q132" s="760"/>
      <c r="R132" s="761" t="s">
        <v>19</v>
      </c>
      <c r="S132" s="761"/>
      <c r="T132" s="762" t="str">
        <f>IF(基本情報入力シート!L20="", "", 基本情報入力シート!L20)</f>
        <v>代表取締役</v>
      </c>
      <c r="U132" s="762"/>
      <c r="V132" s="762"/>
      <c r="W132" s="762"/>
      <c r="X132" s="762"/>
      <c r="Y132" s="763" t="s">
        <v>21</v>
      </c>
      <c r="Z132" s="763"/>
      <c r="AA132" s="762" t="str">
        <f>IF(基本情報入力シート!L21="", "", 基本情報入力シート!L21)</f>
        <v>厚労　太郎</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127</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2195</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2270</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128</v>
      </c>
      <c r="C143" s="757" t="s">
        <v>129</v>
      </c>
      <c r="D143" s="758"/>
      <c r="E143" s="758"/>
      <c r="F143" s="758"/>
      <c r="G143" s="758"/>
      <c r="H143" s="758"/>
      <c r="I143" s="759"/>
      <c r="J143" s="746" t="s">
        <v>130</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v>
      </c>
      <c r="AL143" s="18"/>
    </row>
    <row r="144" spans="1:53" s="167" customFormat="1" ht="25.9" customHeight="1">
      <c r="A144" s="165"/>
      <c r="B144" s="205" t="s">
        <v>131</v>
      </c>
      <c r="C144" s="751" t="s">
        <v>132</v>
      </c>
      <c r="D144" s="752"/>
      <c r="E144" s="752"/>
      <c r="F144" s="752"/>
      <c r="G144" s="752"/>
      <c r="H144" s="752"/>
      <c r="I144" s="753"/>
      <c r="J144" s="744" t="s">
        <v>133</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v>
      </c>
      <c r="AL144" s="206"/>
    </row>
    <row r="145" spans="1:38" s="167" customFormat="1" ht="24" customHeight="1">
      <c r="A145" s="19"/>
      <c r="B145" s="543" t="s">
        <v>134</v>
      </c>
      <c r="C145" s="751" t="s">
        <v>135</v>
      </c>
      <c r="D145" s="752"/>
      <c r="E145" s="752"/>
      <c r="F145" s="752"/>
      <c r="G145" s="752"/>
      <c r="H145" s="752"/>
      <c r="I145" s="753"/>
      <c r="J145" s="744" t="s">
        <v>136</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IF(H6="","",IF(AND(BA42=0,BE42=0),"",IF(OR(AK42="○",AND(AK42="×",AK43="✓")),"○","×")))</f>
        <v>○</v>
      </c>
      <c r="AL145" s="18"/>
    </row>
    <row r="146" spans="1:38" s="13" customFormat="1" ht="26.25" customHeight="1">
      <c r="A146" s="19"/>
      <c r="B146" s="543" t="s">
        <v>137</v>
      </c>
      <c r="C146" s="751" t="s">
        <v>138</v>
      </c>
      <c r="D146" s="752"/>
      <c r="E146" s="752"/>
      <c r="F146" s="752"/>
      <c r="G146" s="752"/>
      <c r="H146" s="752"/>
      <c r="I146" s="753"/>
      <c r="J146" s="744" t="s">
        <v>2484</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v>
      </c>
      <c r="AL146" s="18"/>
    </row>
    <row r="147" spans="1:38" s="13" customFormat="1" ht="18" customHeight="1">
      <c r="A147" s="19"/>
      <c r="B147" s="543" t="s">
        <v>139</v>
      </c>
      <c r="C147" s="751" t="s">
        <v>140</v>
      </c>
      <c r="D147" s="752"/>
      <c r="E147" s="752"/>
      <c r="F147" s="752"/>
      <c r="G147" s="752"/>
      <c r="H147" s="752"/>
      <c r="I147" s="753"/>
      <c r="J147" s="746" t="s">
        <v>2271</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v>
      </c>
      <c r="AL147" s="206"/>
    </row>
    <row r="148" spans="1:38" s="13" customFormat="1" ht="22.15" customHeight="1">
      <c r="A148" s="19"/>
      <c r="B148" s="737" t="s">
        <v>141</v>
      </c>
      <c r="C148" s="738" t="s">
        <v>142</v>
      </c>
      <c r="D148" s="739"/>
      <c r="E148" s="739"/>
      <c r="F148" s="739"/>
      <c r="G148" s="739"/>
      <c r="H148" s="739"/>
      <c r="I148" s="740"/>
      <c r="J148" s="744" t="s">
        <v>2197</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v>
      </c>
      <c r="AL148" s="18"/>
    </row>
    <row r="149" spans="1:38" s="13" customFormat="1">
      <c r="A149" s="19"/>
      <c r="B149" s="737"/>
      <c r="C149" s="741"/>
      <c r="D149" s="742"/>
      <c r="E149" s="742"/>
      <c r="F149" s="742"/>
      <c r="G149" s="742"/>
      <c r="H149" s="742"/>
      <c r="I149" s="743"/>
      <c r="J149" s="746" t="s">
        <v>2272</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v>
      </c>
      <c r="AL149" s="18"/>
    </row>
    <row r="150" spans="1:38" ht="15" customHeight="1">
      <c r="A150" s="18"/>
      <c r="B150" s="375" t="s">
        <v>143</v>
      </c>
      <c r="C150" s="748" t="s">
        <v>144</v>
      </c>
      <c r="D150" s="748"/>
      <c r="E150" s="748"/>
      <c r="F150" s="748"/>
      <c r="G150" s="748"/>
      <c r="H150" s="748"/>
      <c r="I150" s="748"/>
      <c r="J150" s="749" t="s">
        <v>145</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146</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58</v>
      </c>
      <c r="C153" s="725" t="s">
        <v>147</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v>
      </c>
      <c r="AL153" s="18"/>
    </row>
    <row r="154" spans="1:38" ht="13.15" customHeight="1">
      <c r="A154" s="18"/>
      <c r="B154" s="208" t="s">
        <v>58</v>
      </c>
      <c r="C154" s="728" t="s">
        <v>148</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euNRonsdyeruxS7makZn6dtS2+fYI4f+DepI4qCVBqu1V29f/HRVtjqOkIy2p2ashp6cccyPNmdIm+7kgCVcsA==" saltValue="Xc0kvJaPmFAy52jAmDiNqw=="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東京都</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46</v>
      </c>
      <c r="B3" s="1012"/>
      <c r="C3" s="1013"/>
      <c r="D3" s="1014" t="str">
        <f>IF(基本情報入力シート!L16="","",基本情報入力シート!L16)</f>
        <v>○○サービス事業所</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2193</v>
      </c>
      <c r="AH4" s="1017"/>
      <c r="AI4" s="1017"/>
      <c r="AJ4" s="1017"/>
      <c r="AK4" s="1017"/>
      <c r="AL4" s="52"/>
      <c r="AM4" s="52"/>
      <c r="AN4" s="52"/>
      <c r="AO4" s="52"/>
      <c r="AP4" s="52"/>
      <c r="AS4" s="52"/>
      <c r="BL4" s="220"/>
      <c r="BM4"/>
      <c r="BN4"/>
      <c r="BO4"/>
      <c r="BP4"/>
    </row>
    <row r="5" spans="1:69" ht="35.25" customHeight="1" thickBot="1">
      <c r="A5" s="1002" t="s">
        <v>150</v>
      </c>
      <c r="B5" s="1003"/>
      <c r="C5" s="1003"/>
      <c r="D5" s="1003"/>
      <c r="E5" s="1003"/>
      <c r="F5" s="1003"/>
      <c r="G5" s="1003"/>
      <c r="H5" s="1003"/>
      <c r="I5" s="1003"/>
      <c r="J5" s="1003"/>
      <c r="K5" s="1004"/>
      <c r="L5" s="1005">
        <f>IFERROR(SUM(AC:AC),"")</f>
        <v>4690778</v>
      </c>
      <c r="M5" s="1006"/>
      <c r="N5" s="1007"/>
      <c r="O5" s="232" t="s">
        <v>54</v>
      </c>
      <c r="P5" s="538"/>
      <c r="Q5" s="233"/>
      <c r="R5" s="213"/>
      <c r="S5" s="214"/>
      <c r="T5" s="57"/>
      <c r="U5" s="215"/>
      <c r="V5" s="215"/>
      <c r="W5" s="215"/>
      <c r="X5" s="215"/>
      <c r="Y5" s="215"/>
      <c r="Z5" s="215"/>
      <c r="AA5" s="215"/>
      <c r="AB5" s="215"/>
      <c r="AC5" s="215"/>
      <c r="AD5" s="215"/>
      <c r="AE5" s="215"/>
      <c r="AF5" s="216"/>
      <c r="AG5" s="1018" t="s">
        <v>2230</v>
      </c>
      <c r="AH5" s="1019"/>
      <c r="AI5" s="1019"/>
      <c r="AJ5" s="1020"/>
      <c r="AK5" s="322">
        <f>COUNTIF(AU:AU,"対象")</f>
        <v>2</v>
      </c>
      <c r="AL5" s="53"/>
      <c r="AM5" s="53"/>
      <c r="AN5" s="53"/>
      <c r="AO5" s="53"/>
      <c r="AP5" s="231"/>
      <c r="AQ5" s="234"/>
      <c r="AS5" s="231"/>
      <c r="BL5" s="220"/>
      <c r="BM5"/>
      <c r="BN5"/>
      <c r="BO5"/>
      <c r="BP5"/>
    </row>
    <row r="6" spans="1:69" ht="35.25" customHeight="1" thickBot="1">
      <c r="A6" s="235"/>
      <c r="B6" s="1002" t="s">
        <v>151</v>
      </c>
      <c r="C6" s="1003"/>
      <c r="D6" s="1003"/>
      <c r="E6" s="1003"/>
      <c r="F6" s="1003"/>
      <c r="G6" s="1003"/>
      <c r="H6" s="1003"/>
      <c r="I6" s="1003"/>
      <c r="J6" s="1003"/>
      <c r="K6" s="1004"/>
      <c r="L6" s="1005">
        <f>IFERROR(SUM(AE:AE),"")</f>
        <v>2047038</v>
      </c>
      <c r="M6" s="1006"/>
      <c r="N6" s="1007"/>
      <c r="O6" s="232" t="s">
        <v>54</v>
      </c>
      <c r="P6" s="212"/>
      <c r="Q6" s="233"/>
      <c r="R6" s="213"/>
      <c r="S6" s="214"/>
      <c r="T6" s="57"/>
      <c r="U6" s="215"/>
      <c r="V6" s="215"/>
      <c r="W6" s="215"/>
      <c r="X6" s="215"/>
      <c r="Y6" s="215"/>
      <c r="Z6" s="215"/>
      <c r="AA6" s="215"/>
      <c r="AB6" s="215"/>
      <c r="AC6" s="215"/>
      <c r="AD6" s="215"/>
      <c r="AE6" s="215"/>
      <c r="AF6" s="216"/>
      <c r="AG6" s="1008" t="s">
        <v>2469</v>
      </c>
      <c r="AH6" s="1009"/>
      <c r="AI6" s="1009"/>
      <c r="AJ6" s="1010"/>
      <c r="AK6" s="566">
        <f>COUNTIF(AI13:AI113,"○")</f>
        <v>2</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2457</v>
      </c>
      <c r="B7" s="1022"/>
      <c r="C7" s="1022"/>
      <c r="D7" s="1022"/>
      <c r="E7" s="1022"/>
      <c r="F7" s="1022"/>
      <c r="G7" s="1022"/>
      <c r="H7" s="1022"/>
      <c r="I7" s="1022"/>
      <c r="J7" s="1022"/>
      <c r="K7" s="1023"/>
      <c r="L7" s="1024">
        <f>SUM(AD13:AD113)</f>
        <v>0</v>
      </c>
      <c r="M7" s="1024"/>
      <c r="N7" s="1024"/>
      <c r="O7" s="232" t="s">
        <v>2458</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2478</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IFERROR(IF(COUNTIF(AR:AR,"未入力")=0,"○","×"),""))</f>
        <v>○</v>
      </c>
      <c r="AH10" s="312" t="str">
        <f>IF(D3="", "", IFERROR(IF(COUNTIF(AT:AT,"未入力")=0,"○","×"),""))</f>
        <v>○</v>
      </c>
      <c r="AI10" s="551"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3"/>
      <c r="BJ10" s="614">
        <f>BI11+BJ11</f>
        <v>2986012</v>
      </c>
    </row>
    <row r="11" spans="1:69" ht="53.25" customHeight="1" thickBot="1">
      <c r="A11" s="981"/>
      <c r="B11" s="983" t="s">
        <v>2225</v>
      </c>
      <c r="C11" s="984"/>
      <c r="D11" s="984"/>
      <c r="E11" s="984"/>
      <c r="F11" s="985"/>
      <c r="G11" s="989" t="s">
        <v>32</v>
      </c>
      <c r="H11" s="991" t="s">
        <v>33</v>
      </c>
      <c r="I11" s="991"/>
      <c r="J11" s="992" t="s">
        <v>152</v>
      </c>
      <c r="K11" s="994" t="s">
        <v>35</v>
      </c>
      <c r="L11" s="996" t="s">
        <v>2231</v>
      </c>
      <c r="M11" s="998" t="s">
        <v>2453</v>
      </c>
      <c r="N11" s="998"/>
      <c r="O11" s="964" t="s">
        <v>153</v>
      </c>
      <c r="P11" s="966" t="s">
        <v>2226</v>
      </c>
      <c r="Q11" s="968" t="s">
        <v>2227</v>
      </c>
      <c r="R11" s="969"/>
      <c r="S11" s="969"/>
      <c r="T11" s="969"/>
      <c r="U11" s="969"/>
      <c r="V11" s="969"/>
      <c r="W11" s="969"/>
      <c r="X11" s="969"/>
      <c r="Y11" s="969"/>
      <c r="Z11" s="969"/>
      <c r="AA11" s="969"/>
      <c r="AB11" s="970"/>
      <c r="AC11" s="974" t="s">
        <v>2228</v>
      </c>
      <c r="AD11" s="976" t="s">
        <v>2456</v>
      </c>
      <c r="AE11" s="978" t="s">
        <v>154</v>
      </c>
      <c r="AF11" s="966"/>
      <c r="AG11" s="553" t="s">
        <v>155</v>
      </c>
      <c r="AH11" s="553" t="s">
        <v>156</v>
      </c>
      <c r="AI11" s="553" t="s">
        <v>157</v>
      </c>
      <c r="AJ11" s="282" t="s">
        <v>158</v>
      </c>
      <c r="AK11" s="284" t="s">
        <v>159</v>
      </c>
      <c r="AL11" s="302"/>
      <c r="AM11" s="302"/>
      <c r="AN11" s="244"/>
      <c r="AO11" s="562" t="s">
        <v>160</v>
      </c>
      <c r="AP11" s="563"/>
      <c r="AR11" s="27"/>
      <c r="AS11" s="27"/>
      <c r="AT11" s="27"/>
      <c r="AU11" s="27"/>
      <c r="AV11" s="27"/>
      <c r="AW11" s="27"/>
      <c r="AX11" s="27"/>
      <c r="AY11" s="27"/>
      <c r="AZ11" s="27"/>
      <c r="BA11" s="27"/>
      <c r="BB11" s="27"/>
      <c r="BC11" s="27"/>
      <c r="BD11" s="27"/>
      <c r="BE11" s="27"/>
      <c r="BF11" s="27"/>
      <c r="BG11" s="27"/>
      <c r="BH11" s="27"/>
      <c r="BI11" s="602">
        <f>SUM(BI13:BI113)/2</f>
        <v>2986012</v>
      </c>
      <c r="BJ11" s="602">
        <f>SUM(BJ13:BJ113)/2</f>
        <v>0</v>
      </c>
      <c r="BN11" s="220"/>
      <c r="BO11" s="245"/>
      <c r="BP11"/>
    </row>
    <row r="12" spans="1:69" ht="182.25" customHeight="1" thickBot="1">
      <c r="A12" s="982"/>
      <c r="B12" s="986"/>
      <c r="C12" s="987"/>
      <c r="D12" s="987"/>
      <c r="E12" s="987"/>
      <c r="F12" s="988"/>
      <c r="G12" s="990"/>
      <c r="H12" s="246" t="s">
        <v>161</v>
      </c>
      <c r="I12" s="246" t="s">
        <v>162</v>
      </c>
      <c r="J12" s="993"/>
      <c r="K12" s="995"/>
      <c r="L12" s="997"/>
      <c r="M12" s="510" t="s">
        <v>2454</v>
      </c>
      <c r="N12" s="514" t="s">
        <v>2455</v>
      </c>
      <c r="O12" s="965"/>
      <c r="P12" s="967"/>
      <c r="Q12" s="971"/>
      <c r="R12" s="972"/>
      <c r="S12" s="972"/>
      <c r="T12" s="972"/>
      <c r="U12" s="972"/>
      <c r="V12" s="972"/>
      <c r="W12" s="972"/>
      <c r="X12" s="972"/>
      <c r="Y12" s="972"/>
      <c r="Z12" s="972"/>
      <c r="AA12" s="972"/>
      <c r="AB12" s="973"/>
      <c r="AC12" s="975"/>
      <c r="AD12" s="977"/>
      <c r="AE12" s="247" t="s">
        <v>163</v>
      </c>
      <c r="AF12" s="248" t="s">
        <v>2465</v>
      </c>
      <c r="AG12" s="249" t="s">
        <v>164</v>
      </c>
      <c r="AH12" s="250" t="s">
        <v>165</v>
      </c>
      <c r="AI12" s="250" t="s">
        <v>2480</v>
      </c>
      <c r="AJ12" s="283" t="s">
        <v>2229</v>
      </c>
      <c r="AK12" s="285" t="s">
        <v>2481</v>
      </c>
      <c r="AL12" s="962" t="s">
        <v>166</v>
      </c>
      <c r="AM12" s="963"/>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7"/>
      <c r="BH12" s="596" t="s">
        <v>2510</v>
      </c>
      <c r="BI12" s="615" t="s">
        <v>2511</v>
      </c>
      <c r="BJ12" s="615" t="s">
        <v>2512</v>
      </c>
      <c r="BK12"/>
      <c r="BL12"/>
      <c r="BM12"/>
      <c r="BN12"/>
      <c r="BO12"/>
      <c r="BP12"/>
    </row>
    <row r="13" spans="1:69" ht="109.9" customHeight="1" thickBot="1">
      <c r="A13" s="303">
        <v>1</v>
      </c>
      <c r="B13" s="956" t="str">
        <f>IF(基本情報入力シート!B35="","",基本情報入力シート!B35)</f>
        <v>1234567899</v>
      </c>
      <c r="C13" s="957"/>
      <c r="D13" s="957"/>
      <c r="E13" s="957"/>
      <c r="F13" s="958"/>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87" t="s">
        <v>270</v>
      </c>
      <c r="N13" s="522">
        <f>IFERROR(VLOOKUP(K13,【参考】数式用!$A$2:$F$57,MATCH(M13,【参考】数式用!$C$3:$F$3,0)+2,0),"")</f>
        <v>0.40200000000000002</v>
      </c>
      <c r="O13" s="511" t="s">
        <v>270</v>
      </c>
      <c r="P13" s="555">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15">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加算対象</v>
      </c>
      <c r="AP13" s="557" t="str">
        <f t="shared" ref="AP13:AP44" si="1">IF(AND(K13&lt;&gt;"",AO13="加算対象"),"N列に色付け","")</f>
        <v>N列に色付け</v>
      </c>
      <c r="AQ13" s="561" t="str">
        <f t="shared" ref="AQ13:AQ44" si="2">IF(AND(AE13&lt;&gt;0,AE13&lt;&gt;"",AO13="加算対象"),IF(AF13="○","入力済","未入力"),"")</f>
        <v>入力済</v>
      </c>
      <c r="AR13" s="540" t="str">
        <f t="shared" ref="AR13:AR44" si="3">IF(AND(O13&lt;&gt;"", AG13="",AO13="加算対象"), "未入力", "入力済")</f>
        <v>入力済</v>
      </c>
      <c r="AS13" s="557" t="str">
        <f>IF(AND(O13&lt;&gt;"", O13&lt;&gt;"処遇改善加算Ⅳ",AO13="加算対象"),"AH列に色付け","")</f>
        <v>AH列に色付け</v>
      </c>
      <c r="AT13" s="540" t="str">
        <f t="shared" ref="AT13:AT44" si="4">IF(AND(O13&lt;&gt;"", O13&lt;&gt;"処遇改善加算Ⅳ", AH13=""), "未入力", "入力済")</f>
        <v>入力済</v>
      </c>
      <c r="AU13" s="540" t="str">
        <f>IF(OR(O13="処遇改善加算Ⅰ",O13="処遇改善加算Ⅱ"),"対象","非対象")</f>
        <v>対象</v>
      </c>
      <c r="AV13" s="540">
        <f t="shared" ref="AV13:AV44" si="5">IF(AND(AO13="加算対象",O13&lt;&gt;"処遇改善加算Ⅲ",O13&lt;&gt;"処遇改善加算Ⅳ", O13&lt;&gt;"", AU13&lt;&gt;"対象外"), 1,"")</f>
        <v>1</v>
      </c>
      <c r="AW13" s="557" t="str">
        <f t="shared" ref="AW13:AW44" si="6">IF(AND(AV13=1, OR(AI13=0,AI13=""),AO13="加算対象"),"AH列に色付け","")</f>
        <v/>
      </c>
      <c r="AX13" s="557" t="str">
        <f>IF(AND(O13&lt;&gt;"", O13&lt;&gt;"処遇改善加算Ⅲ", O13&lt;&gt;"処遇改善加算Ⅳ",O13&lt;&gt;"処遇改善加算"), "対象", "")</f>
        <v>対象</v>
      </c>
      <c r="AY13" s="540" t="str">
        <f>IFERROR(VLOOKUP(K13,【参考】数式用!$AR$5:$AS$39,2, FALSE), "")</f>
        <v>居宅介護Ⅴ</v>
      </c>
      <c r="AZ13" s="557" t="str">
        <f>IF(AND(AO13="加算対象",O13="処遇改善加算Ⅰ"),"AJ列に色付け","")</f>
        <v/>
      </c>
      <c r="BA13" s="560" t="str">
        <f t="shared" ref="BA13:BA44" si="7">IF(AND(O13="処遇改善加算Ⅰ", AJ13=""), "未入力","入力済")</f>
        <v>入力済</v>
      </c>
      <c r="BB13" s="540" t="str">
        <f>IFERROR(VLOOKUP(K13,【参考】数式用!$AX$3:$AY$59, 2, FALSE), "")</f>
        <v>居宅介護R8</v>
      </c>
      <c r="BC13" s="578" t="str">
        <f>IF(COUNTIF(AG13:AI13,"*令和８年度特例要件を*")&gt;0,"AK列に色付け","")</f>
        <v>AK列に色付け</v>
      </c>
      <c r="BD13" s="560" t="str">
        <f t="shared" ref="BD13:BD44" si="8">IF(AND(COUNTIF(AG13:AI13,"*令和８年度特例要件を*")&gt;0,AK13=""), "未入力","入力済")</f>
        <v>入力済</v>
      </c>
      <c r="BE13" s="577" t="str">
        <f>IF(BC13="AK列に色付け","入力必要","")</f>
        <v>入力必要</v>
      </c>
      <c r="BF13" s="560" t="str">
        <f t="shared" ref="BF13:BF44" si="9">G13</f>
        <v>東京都</v>
      </c>
      <c r="BG13" s="597">
        <f>IF(COUNTIF(BE:BE,"*入力必要*"),1,0)</f>
        <v>1</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6">
        <f>IF(BH13="Ⅱロ有り",ROUNDDOWN(L13*VLOOKUP(K13,【参考】数式用!$A$4:$J$42,10,FALSE)*AA13,0),"")</f>
        <v>297480</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1234567900</v>
      </c>
      <c r="C14" s="957"/>
      <c r="D14" s="957"/>
      <c r="E14" s="957"/>
      <c r="F14" s="958"/>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88" t="s">
        <v>271</v>
      </c>
      <c r="N14" s="522">
        <f>IFERROR(VLOOKUP(K14,【参考】数式用!$A$2:$F$57,MATCH(M14,【参考】数式用!$C$3:$F$3,0)+2,0),"")</f>
        <v>5.4999999999999993E-2</v>
      </c>
      <c r="O14" s="511" t="s">
        <v>271</v>
      </c>
      <c r="P14" s="555">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加算対象</v>
      </c>
      <c r="AP14" s="557" t="str">
        <f t="shared" si="1"/>
        <v>N列に色付け</v>
      </c>
      <c r="AQ14" s="561" t="str">
        <f t="shared" si="2"/>
        <v>入力済</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生活介護V</v>
      </c>
      <c r="AZ14" s="557" t="str">
        <f t="shared" ref="AZ14:AZ77" si="15">IF(AND(AO14="加算対象",O14="処遇改善加算Ⅰ"),"AJ列に色付け","")</f>
        <v/>
      </c>
      <c r="BA14" s="560" t="str">
        <f t="shared" si="7"/>
        <v>入力済</v>
      </c>
      <c r="BB14" s="540" t="str">
        <f>IFERROR(VLOOKUP(K14,【参考】数式用!$AX$3:$AY$59, 2, FALSE), "")</f>
        <v>生活介護R8</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東京都</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1234567901</v>
      </c>
      <c r="C15" s="957"/>
      <c r="D15" s="957"/>
      <c r="E15" s="957"/>
      <c r="F15" s="958"/>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88" t="s">
        <v>182</v>
      </c>
      <c r="N15" s="522">
        <f>IFERROR(VLOOKUP(K15,【参考】数式用!$A$2:$F$57,MATCH(M15,【参考】数式用!$C$3:$F$3,0)+2,0),"")</f>
        <v>9.2999999999999999E-2</v>
      </c>
      <c r="O15" s="511" t="s">
        <v>182</v>
      </c>
      <c r="P15" s="555">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加算対象</v>
      </c>
      <c r="AP15" s="557" t="str">
        <f t="shared" si="1"/>
        <v>N列に色付け</v>
      </c>
      <c r="AQ15" s="561" t="str">
        <f t="shared" si="2"/>
        <v>入力済</v>
      </c>
      <c r="AR15" s="540" t="str">
        <f t="shared" si="3"/>
        <v>入力済</v>
      </c>
      <c r="AS15" s="578" t="str">
        <f t="shared" si="12"/>
        <v>AH列に色付け</v>
      </c>
      <c r="AT15" s="540" t="str">
        <f t="shared" si="4"/>
        <v>入力済</v>
      </c>
      <c r="AU15" s="540" t="str">
        <f t="shared" si="13"/>
        <v>対象</v>
      </c>
      <c r="AV15" s="540">
        <f t="shared" si="5"/>
        <v>1</v>
      </c>
      <c r="AW15" s="557" t="str">
        <f t="shared" si="6"/>
        <v/>
      </c>
      <c r="AX15" s="578" t="str">
        <f t="shared" si="14"/>
        <v>対象</v>
      </c>
      <c r="AY15" s="540" t="str">
        <f>IFERROR(VLOOKUP(K15,【参考】数式用!$AR$5:$AS$39,2, FALSE), "")</f>
        <v>就労継続支援Ｂ型V</v>
      </c>
      <c r="AZ15" s="557" t="str">
        <f t="shared" si="15"/>
        <v>AJ列に色付け</v>
      </c>
      <c r="BA15" s="560" t="str">
        <f t="shared" si="7"/>
        <v>入力済</v>
      </c>
      <c r="BB15" s="540" t="str">
        <f>IFERROR(VLOOKUP(K15,【参考】数式用!$AX$3:$AY$59, 2, FALSE), "")</f>
        <v>就労継続支援Ｂ型R8</v>
      </c>
      <c r="BC15" s="578" t="str">
        <f t="shared" si="16"/>
        <v/>
      </c>
      <c r="BD15" s="560" t="str">
        <f t="shared" si="8"/>
        <v>入力済</v>
      </c>
      <c r="BE15" s="577" t="str">
        <f t="shared" si="17"/>
        <v/>
      </c>
      <c r="BF15" s="560" t="str">
        <f t="shared" si="9"/>
        <v>東京都</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1234567902</v>
      </c>
      <c r="C16" s="957"/>
      <c r="D16" s="957"/>
      <c r="E16" s="957"/>
      <c r="F16" s="958"/>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88" t="s">
        <v>271</v>
      </c>
      <c r="N16" s="522">
        <f>IFERROR(VLOOKUP(K16,【参考】数式用!$A$2:$F$57,MATCH(M16,【参考】数式用!$C$3:$F$3,0)+2,0),"")</f>
        <v>0.08</v>
      </c>
      <c r="O16" s="511" t="s">
        <v>271</v>
      </c>
      <c r="P16" s="555">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57" t="str">
        <f>IFERROR(VLOOKUP(K16,【参考】数式用!$A$2:$N$57,14,FALSE),"")</f>
        <v>加算対象</v>
      </c>
      <c r="AP16" s="557" t="str">
        <f t="shared" si="1"/>
        <v>N列に色付け</v>
      </c>
      <c r="AQ16" s="561" t="str">
        <f t="shared" si="2"/>
        <v>入力済</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自立訓練_生活訓練_V</v>
      </c>
      <c r="AZ16" s="557" t="str">
        <f t="shared" si="15"/>
        <v/>
      </c>
      <c r="BA16" s="560" t="str">
        <f t="shared" si="7"/>
        <v>入力済</v>
      </c>
      <c r="BB16" s="540" t="str">
        <f>IFERROR(VLOOKUP(K16,【参考】数式用!$AX$3:$AY$59, 2, FALSE), "")</f>
        <v>自立訓練_生活訓練_R8</v>
      </c>
      <c r="BC16" s="578" t="str">
        <f t="shared" si="16"/>
        <v>AK列に色付け</v>
      </c>
      <c r="BD16" s="560" t="str">
        <f t="shared" si="8"/>
        <v>入力済</v>
      </c>
      <c r="BE16" s="577" t="str">
        <f t="shared" si="17"/>
        <v>入力必要</v>
      </c>
      <c r="BF16" s="560" t="str">
        <f t="shared" si="9"/>
        <v>東京都</v>
      </c>
      <c r="BG16" s="597"/>
      <c r="BH16" s="593" t="str">
        <f t="shared" si="18"/>
        <v>Ⅱロ有り</v>
      </c>
      <c r="BI16" s="616">
        <f>IF(BH16="Ⅱロ有り",ROUNDDOWN(L16*VLOOKUP(K16,【参考】数式用!$A$4:$J$42,10,FALSE)*AA16,0),"")</f>
        <v>2077346</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1234567903</v>
      </c>
      <c r="C17" s="957"/>
      <c r="D17" s="957"/>
      <c r="E17" s="957"/>
      <c r="F17" s="958"/>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88" t="s">
        <v>196</v>
      </c>
      <c r="N17" s="522">
        <f>IFERROR(VLOOKUP(K17,【参考】数式用!$A$2:$F$57,MATCH(M17,【参考】数式用!$C$3:$F$3,0)+2,0),"")</f>
        <v>0.11599999999999999</v>
      </c>
      <c r="O17" s="511" t="s">
        <v>196</v>
      </c>
      <c r="P17" s="555">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57" t="str">
        <f>IFERROR(VLOOKUP(K17,【参考】数式用!$A$2:$N$57,14,FALSE),"")</f>
        <v>加算対象</v>
      </c>
      <c r="AP17" s="557" t="str">
        <f t="shared" si="1"/>
        <v>N列に色付け</v>
      </c>
      <c r="AQ17" s="561" t="str">
        <f t="shared" si="2"/>
        <v>入力済</v>
      </c>
      <c r="AR17" s="540" t="str">
        <f t="shared" si="3"/>
        <v>入力済</v>
      </c>
      <c r="AS17" s="578" t="str">
        <f t="shared" si="12"/>
        <v>AH列に色付け</v>
      </c>
      <c r="AT17" s="540" t="str">
        <f t="shared" si="4"/>
        <v>入力済</v>
      </c>
      <c r="AU17" s="540" t="str">
        <f t="shared" si="13"/>
        <v/>
      </c>
      <c r="AV17" s="540" t="str">
        <f t="shared" si="5"/>
        <v/>
      </c>
      <c r="AW17" s="557" t="str">
        <f t="shared" si="6"/>
        <v/>
      </c>
      <c r="AX17" s="578" t="str">
        <f t="shared" si="14"/>
        <v/>
      </c>
      <c r="AY17" s="540" t="str">
        <f>IFERROR(VLOOKUP(K17,【参考】数式用!$AR$5:$AS$39,2, FALSE), "")</f>
        <v>療養介護V</v>
      </c>
      <c r="AZ17" s="557" t="str">
        <f t="shared" si="15"/>
        <v/>
      </c>
      <c r="BA17" s="560" t="str">
        <f t="shared" si="7"/>
        <v>入力済</v>
      </c>
      <c r="BB17" s="540" t="str">
        <f>IFERROR(VLOOKUP(K17,【参考】数式用!$AX$3:$AY$59, 2, FALSE), "")</f>
        <v>療養介護R8</v>
      </c>
      <c r="BC17" s="578" t="str">
        <f t="shared" si="16"/>
        <v>AK列に色付け</v>
      </c>
      <c r="BD17" s="560" t="str">
        <f t="shared" si="8"/>
        <v>入力済</v>
      </c>
      <c r="BE17" s="577" t="str">
        <f t="shared" si="17"/>
        <v>入力必要</v>
      </c>
      <c r="BF17" s="560" t="str">
        <f t="shared" si="9"/>
        <v>東京都</v>
      </c>
      <c r="BG17" s="597"/>
      <c r="BH17" s="593" t="str">
        <f t="shared" si="18"/>
        <v>Ⅱロ有り</v>
      </c>
      <c r="BI17" s="616">
        <f>IF(BH17="Ⅱロ有り",ROUNDDOWN(L17*VLOOKUP(K17,【参考】数式用!$A$4:$J$42,10,FALSE)*AA17,0),"")</f>
        <v>3597198</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1234567904</v>
      </c>
      <c r="C18" s="957"/>
      <c r="D18" s="957"/>
      <c r="E18" s="957"/>
      <c r="F18" s="958"/>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88"/>
      <c r="N18" s="522" t="str">
        <f>IFERROR(VLOOKUP(K18,【参考】数式用!$A$2:$F$57,MATCH(M18,【参考】数式用!$C$3:$F$3,0)+2,0),"")</f>
        <v/>
      </c>
      <c r="O18" s="511"/>
      <c r="P18" s="555"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加算対象外</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計画相談支援R8</v>
      </c>
      <c r="BC18" s="578" t="str">
        <f t="shared" si="16"/>
        <v/>
      </c>
      <c r="BD18" s="560" t="str">
        <f t="shared" si="8"/>
        <v>入力済</v>
      </c>
      <c r="BE18" s="577" t="str">
        <f t="shared" si="17"/>
        <v/>
      </c>
      <c r="BF18" s="560" t="str">
        <f t="shared" si="9"/>
        <v>東京都</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1234567905</v>
      </c>
      <c r="C19" s="957"/>
      <c r="D19" s="957"/>
      <c r="E19" s="957"/>
      <c r="F19" s="958"/>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88"/>
      <c r="N19" s="522" t="str">
        <f>IFERROR(VLOOKUP(K19,【参考】数式用!$A$2:$F$57,MATCH(M19,【参考】数式用!$C$3:$F$3,0)+2,0),"")</f>
        <v/>
      </c>
      <c r="O19" s="511"/>
      <c r="P19" s="555"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加算対象外</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地域相談支援_地域移行支援_R8</v>
      </c>
      <c r="BC19" s="578" t="str">
        <f t="shared" si="16"/>
        <v/>
      </c>
      <c r="BD19" s="560" t="str">
        <f t="shared" si="8"/>
        <v>入力済</v>
      </c>
      <c r="BE19" s="577" t="str">
        <f t="shared" si="17"/>
        <v/>
      </c>
      <c r="BF19" s="560" t="str">
        <f t="shared" si="9"/>
        <v>東京都</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1234567906</v>
      </c>
      <c r="C20" s="957"/>
      <c r="D20" s="957"/>
      <c r="E20" s="957"/>
      <c r="F20" s="958"/>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88" t="s">
        <v>196</v>
      </c>
      <c r="N20" s="522">
        <f>IFERROR(VLOOKUP(K20,【参考】数式用!$A$2:$F$57,MATCH(M20,【参考】数式用!$C$3:$F$3,0)+2,0),"")</f>
        <v>8.4000000000000005E-2</v>
      </c>
      <c r="O20" s="511" t="s">
        <v>196</v>
      </c>
      <c r="P20" s="555">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15">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57" t="str">
        <f>IFERROR(VLOOKUP(K20,【参考】数式用!$A$2:$N$57,14,FALSE),"")</f>
        <v>加算対象</v>
      </c>
      <c r="AP20" s="557" t="str">
        <f t="shared" si="1"/>
        <v>N列に色付け</v>
      </c>
      <c r="AQ20" s="561" t="str">
        <f t="shared" si="2"/>
        <v>入力済</v>
      </c>
      <c r="AR20" s="540" t="str">
        <f t="shared" si="3"/>
        <v>入力済</v>
      </c>
      <c r="AS20" s="578" t="str">
        <f t="shared" si="12"/>
        <v>AH列に色付け</v>
      </c>
      <c r="AT20" s="540" t="str">
        <f t="shared" si="4"/>
        <v>入力済</v>
      </c>
      <c r="AU20" s="540" t="str">
        <f t="shared" si="13"/>
        <v/>
      </c>
      <c r="AV20" s="540" t="str">
        <f t="shared" si="5"/>
        <v/>
      </c>
      <c r="AW20" s="557" t="str">
        <f t="shared" si="6"/>
        <v/>
      </c>
      <c r="AX20" s="578" t="str">
        <f t="shared" si="14"/>
        <v/>
      </c>
      <c r="AY20" s="540" t="str">
        <f>IFERROR(VLOOKUP(K20,【参考】数式用!$AR$5:$AS$39,2, FALSE), "")</f>
        <v>障害者支援施設_生活介護V</v>
      </c>
      <c r="AZ20" s="557" t="str">
        <f t="shared" si="15"/>
        <v/>
      </c>
      <c r="BA20" s="560" t="str">
        <f t="shared" si="7"/>
        <v>入力済</v>
      </c>
      <c r="BB20" s="540" t="str">
        <f>IFERROR(VLOOKUP(K20,【参考】数式用!$AX$3:$AY$59, 2, FALSE), "")</f>
        <v>障害者支援施設_生活介護R8</v>
      </c>
      <c r="BC20" s="578" t="str">
        <f t="shared" si="16"/>
        <v/>
      </c>
      <c r="BD20" s="560" t="str">
        <f t="shared" si="8"/>
        <v>入力済</v>
      </c>
      <c r="BE20" s="577" t="str">
        <f t="shared" si="17"/>
        <v/>
      </c>
      <c r="BF20" s="560" t="str">
        <f t="shared" si="9"/>
        <v>東京都</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topLeftCell="A13" zoomScale="60" zoomScaleNormal="85" zoomScalePageLayoutView="70" workbookViewId="0">
      <selection activeCell="AG19" sqref="AG19"/>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東京都</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46</v>
      </c>
      <c r="B3" s="1012"/>
      <c r="C3" s="1013"/>
      <c r="D3" s="1014" t="str">
        <f>IF(基本情報入力シート!L16="","",基本情報入力シート!L16)</f>
        <v>○○サービス事業所</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2193</v>
      </c>
      <c r="AH4" s="1017"/>
      <c r="AI4" s="1017"/>
      <c r="AJ4" s="1017"/>
      <c r="AK4" s="1017"/>
      <c r="AL4" s="52"/>
      <c r="AM4" s="52"/>
      <c r="AN4" s="52"/>
      <c r="AO4" s="52"/>
      <c r="AP4" s="52"/>
      <c r="AT4" s="52"/>
      <c r="BP4" s="220"/>
      <c r="BQ4"/>
      <c r="BR4"/>
      <c r="BS4"/>
      <c r="BT4"/>
      <c r="BU4" s="570"/>
    </row>
    <row r="5" spans="1:74" ht="51" customHeight="1" thickBot="1">
      <c r="A5" s="1032" t="s">
        <v>191</v>
      </c>
      <c r="B5" s="1033"/>
      <c r="C5" s="1033"/>
      <c r="D5" s="1033"/>
      <c r="E5" s="1033"/>
      <c r="F5" s="1033"/>
      <c r="G5" s="1033"/>
      <c r="H5" s="1033"/>
      <c r="I5" s="1033"/>
      <c r="J5" s="1034"/>
      <c r="K5" s="385" t="s">
        <v>192</v>
      </c>
      <c r="L5" s="1035" t="s">
        <v>2211</v>
      </c>
      <c r="M5" s="1036"/>
      <c r="N5" s="1037" t="s">
        <v>2212</v>
      </c>
      <c r="O5" s="1038"/>
      <c r="P5" s="386"/>
      <c r="Q5" s="233"/>
      <c r="R5" s="213"/>
      <c r="S5" s="214"/>
      <c r="T5" s="57"/>
      <c r="U5" s="215"/>
      <c r="V5" s="215"/>
      <c r="W5" s="215"/>
      <c r="X5" s="215"/>
      <c r="Y5" s="215"/>
      <c r="Z5" s="215"/>
      <c r="AA5" s="215"/>
      <c r="AB5" s="215"/>
      <c r="AC5" s="215"/>
      <c r="AD5" s="215"/>
      <c r="AE5" s="215"/>
      <c r="AF5" s="216"/>
      <c r="AG5" s="1018" t="s">
        <v>2468</v>
      </c>
      <c r="AH5" s="1019"/>
      <c r="AI5" s="1019"/>
      <c r="AJ5" s="1020"/>
      <c r="AK5" s="322">
        <f>COUNTIF(AV:AV,"対象")</f>
        <v>3</v>
      </c>
      <c r="AL5" s="53"/>
      <c r="AM5" s="53"/>
      <c r="AN5" s="53"/>
      <c r="AO5" s="53"/>
      <c r="AP5" s="231"/>
      <c r="AQ5" s="234"/>
      <c r="AR5" s="234"/>
      <c r="AT5" s="231"/>
      <c r="BP5" s="220"/>
      <c r="BQ5"/>
      <c r="BR5"/>
      <c r="BS5"/>
      <c r="BT5"/>
      <c r="BU5" s="570"/>
    </row>
    <row r="6" spans="1:74" ht="35.25" customHeight="1" thickBot="1">
      <c r="A6" s="1049" t="s">
        <v>150</v>
      </c>
      <c r="B6" s="1050"/>
      <c r="C6" s="1050"/>
      <c r="D6" s="1050"/>
      <c r="E6" s="1050"/>
      <c r="F6" s="1050"/>
      <c r="G6" s="1050"/>
      <c r="H6" s="1050"/>
      <c r="I6" s="1050"/>
      <c r="J6" s="1051"/>
      <c r="K6" s="287">
        <f>IFERROR(SUM($AC:$AC),"")</f>
        <v>33063700</v>
      </c>
      <c r="L6" s="1005">
        <f>IFERROR(SUMIF($AO$13:$AO$113,"加算対象",$AC13:$AC113),"")</f>
        <v>32628100</v>
      </c>
      <c r="M6" s="1007"/>
      <c r="N6" s="1005">
        <f>IFERROR(SUMIF($AO$13:$AO$113,"加算対象外",$AC13:$AC113),"")</f>
        <v>435600</v>
      </c>
      <c r="O6" s="1007"/>
      <c r="P6" s="232" t="s">
        <v>54</v>
      </c>
      <c r="Q6" s="233"/>
      <c r="R6" s="213"/>
      <c r="S6" s="214"/>
      <c r="T6" s="57"/>
      <c r="U6" s="215"/>
      <c r="V6" s="215"/>
      <c r="W6" s="215"/>
      <c r="X6" s="215"/>
      <c r="Y6" s="215"/>
      <c r="Z6" s="215"/>
      <c r="AA6" s="215"/>
      <c r="AB6" s="215"/>
      <c r="AC6" s="215"/>
      <c r="AD6" s="215"/>
      <c r="AE6" s="215"/>
      <c r="AF6" s="216"/>
      <c r="AG6" s="1018" t="s">
        <v>2469</v>
      </c>
      <c r="AH6" s="1019"/>
      <c r="AI6" s="1019"/>
      <c r="AJ6" s="1020"/>
      <c r="AK6" s="566">
        <f>COUNTIF(AI13:AI113,"○")</f>
        <v>3</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151</v>
      </c>
      <c r="C7" s="1044"/>
      <c r="D7" s="1044"/>
      <c r="E7" s="1044"/>
      <c r="F7" s="1044"/>
      <c r="G7" s="1044"/>
      <c r="H7" s="1044"/>
      <c r="I7" s="1044"/>
      <c r="J7" s="1045"/>
      <c r="K7" s="287">
        <f>IFERROR(SUM($AE:$AE),"")</f>
        <v>12947405</v>
      </c>
      <c r="L7" s="1005">
        <f>IFERROR(SUMIF($AO$13:$AO$113,"加算対象",$AE13:$AE113),"")</f>
        <v>12947405</v>
      </c>
      <c r="M7" s="1007"/>
      <c r="N7" s="1046"/>
      <c r="O7" s="1047"/>
      <c r="P7" s="232" t="s">
        <v>54</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2460</v>
      </c>
      <c r="B8" s="1040"/>
      <c r="C8" s="1040"/>
      <c r="D8" s="1040"/>
      <c r="E8" s="1040"/>
      <c r="F8" s="1040"/>
      <c r="G8" s="1040"/>
      <c r="H8" s="1040"/>
      <c r="I8" s="1040"/>
      <c r="J8" s="1041"/>
      <c r="K8" s="1024">
        <f>SUM(AD13:AD113)</f>
        <v>9174220</v>
      </c>
      <c r="L8" s="1024"/>
      <c r="M8" s="1024"/>
      <c r="N8" s="1024"/>
      <c r="O8" s="1024"/>
      <c r="P8" s="232" t="s">
        <v>54</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2467</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IFERROR(IF(COUNTIF(AS:AS,"未入力")=0,"○","×"),""))</f>
        <v>○</v>
      </c>
      <c r="AH10" s="312" t="str">
        <f>IF(D3="", "", IFERROR(IF(COUNTIF(AU:AU,"未入力")=0,"○","×"),""))</f>
        <v>○</v>
      </c>
      <c r="AI10" s="584"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9"/>
      <c r="BL10" s="599"/>
      <c r="BM10" s="600"/>
      <c r="BN10" s="600"/>
      <c r="BO10" s="601">
        <f>BO11+BP11</f>
        <v>743702</v>
      </c>
      <c r="BP10" s="599"/>
      <c r="BQ10" s="599"/>
      <c r="BR10" s="599"/>
      <c r="BS10" s="599"/>
      <c r="BT10" s="599"/>
      <c r="BU10" s="601"/>
      <c r="BV10" s="618">
        <f>BU11+BV11</f>
        <v>8992997</v>
      </c>
    </row>
    <row r="11" spans="1:74" ht="53.25" customHeight="1" thickBot="1">
      <c r="A11" s="981"/>
      <c r="B11" s="983" t="s">
        <v>2225</v>
      </c>
      <c r="C11" s="984"/>
      <c r="D11" s="984"/>
      <c r="E11" s="984"/>
      <c r="F11" s="985"/>
      <c r="G11" s="989" t="s">
        <v>32</v>
      </c>
      <c r="H11" s="991" t="s">
        <v>33</v>
      </c>
      <c r="I11" s="991"/>
      <c r="J11" s="992" t="s">
        <v>152</v>
      </c>
      <c r="K11" s="994" t="s">
        <v>35</v>
      </c>
      <c r="L11" s="996" t="s">
        <v>2233</v>
      </c>
      <c r="M11" s="1025" t="s">
        <v>2459</v>
      </c>
      <c r="N11" s="1026"/>
      <c r="O11" s="1027" t="s">
        <v>193</v>
      </c>
      <c r="P11" s="1029" t="s">
        <v>2226</v>
      </c>
      <c r="Q11" s="968" t="s">
        <v>2232</v>
      </c>
      <c r="R11" s="969"/>
      <c r="S11" s="969"/>
      <c r="T11" s="969"/>
      <c r="U11" s="969"/>
      <c r="V11" s="969"/>
      <c r="W11" s="969"/>
      <c r="X11" s="969"/>
      <c r="Y11" s="969"/>
      <c r="Z11" s="969"/>
      <c r="AA11" s="969"/>
      <c r="AB11" s="970"/>
      <c r="AC11" s="974" t="s">
        <v>2228</v>
      </c>
      <c r="AD11" s="976" t="s">
        <v>2460</v>
      </c>
      <c r="AE11" s="978" t="s">
        <v>154</v>
      </c>
      <c r="AF11" s="966"/>
      <c r="AG11" s="553" t="s">
        <v>155</v>
      </c>
      <c r="AH11" s="553" t="s">
        <v>156</v>
      </c>
      <c r="AI11" s="553" t="s">
        <v>157</v>
      </c>
      <c r="AJ11" s="282" t="s">
        <v>158</v>
      </c>
      <c r="AK11" s="284" t="s">
        <v>159</v>
      </c>
      <c r="AL11" s="302"/>
      <c r="AM11" s="302"/>
      <c r="AN11" s="244"/>
      <c r="AO11" s="562" t="s">
        <v>160</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743702</v>
      </c>
      <c r="BP11" s="27">
        <f>SUM(BP13:BP113)/2</f>
        <v>0</v>
      </c>
      <c r="BQ11" s="1031" t="s">
        <v>2520</v>
      </c>
      <c r="BR11" s="1031"/>
      <c r="BS11" s="603"/>
      <c r="BT11" s="604"/>
      <c r="BU11" s="602">
        <f>SUM(BU13:BU114)/2</f>
        <v>8992997</v>
      </c>
      <c r="BV11" s="27">
        <f>SUM(BV13:BV114)/2</f>
        <v>0</v>
      </c>
    </row>
    <row r="12" spans="1:74" ht="159.75" customHeight="1" thickBot="1">
      <c r="A12" s="982"/>
      <c r="B12" s="986"/>
      <c r="C12" s="987"/>
      <c r="D12" s="987"/>
      <c r="E12" s="987"/>
      <c r="F12" s="988"/>
      <c r="G12" s="990"/>
      <c r="H12" s="246" t="s">
        <v>161</v>
      </c>
      <c r="I12" s="246" t="s">
        <v>162</v>
      </c>
      <c r="J12" s="993"/>
      <c r="K12" s="995"/>
      <c r="L12" s="997"/>
      <c r="M12" s="510" t="s">
        <v>2454</v>
      </c>
      <c r="N12" s="514" t="s">
        <v>2455</v>
      </c>
      <c r="O12" s="1028"/>
      <c r="P12" s="1030"/>
      <c r="Q12" s="971"/>
      <c r="R12" s="972"/>
      <c r="S12" s="972"/>
      <c r="T12" s="972"/>
      <c r="U12" s="972"/>
      <c r="V12" s="972"/>
      <c r="W12" s="972"/>
      <c r="X12" s="972"/>
      <c r="Y12" s="972"/>
      <c r="Z12" s="972"/>
      <c r="AA12" s="972"/>
      <c r="AB12" s="973"/>
      <c r="AC12" s="975"/>
      <c r="AD12" s="977"/>
      <c r="AE12" s="247" t="s">
        <v>163</v>
      </c>
      <c r="AF12" s="248" t="s">
        <v>2465</v>
      </c>
      <c r="AG12" s="249" t="s">
        <v>164</v>
      </c>
      <c r="AH12" s="250" t="s">
        <v>165</v>
      </c>
      <c r="AI12" s="250" t="s">
        <v>2482</v>
      </c>
      <c r="AJ12" s="283" t="s">
        <v>2229</v>
      </c>
      <c r="AK12" s="285" t="s">
        <v>2483</v>
      </c>
      <c r="AL12" s="962" t="s">
        <v>166</v>
      </c>
      <c r="AM12" s="963"/>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5" t="s">
        <v>2464</v>
      </c>
      <c r="BM12" s="605" t="s">
        <v>2472</v>
      </c>
      <c r="BN12" s="605" t="s">
        <v>2485</v>
      </c>
      <c r="BO12" s="606" t="s">
        <v>2473</v>
      </c>
      <c r="BP12" s="605" t="s">
        <v>2485</v>
      </c>
      <c r="BQ12" s="605" t="s">
        <v>2505</v>
      </c>
      <c r="BR12" s="605" t="s">
        <v>2506</v>
      </c>
      <c r="BS12" s="605" t="s">
        <v>2507</v>
      </c>
      <c r="BT12" s="605" t="s">
        <v>2510</v>
      </c>
      <c r="BU12" s="606" t="s">
        <v>2518</v>
      </c>
      <c r="BV12" s="607" t="s">
        <v>2519</v>
      </c>
    </row>
    <row r="13" spans="1:74" ht="109.9" customHeight="1" thickBot="1">
      <c r="A13" s="303">
        <v>1</v>
      </c>
      <c r="B13" s="956" t="str">
        <f>IF(基本情報入力シート!B35="","",基本情報入力シート!B35)</f>
        <v>1234567899</v>
      </c>
      <c r="C13" s="957"/>
      <c r="D13" s="957"/>
      <c r="E13" s="957"/>
      <c r="F13" s="958"/>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24" t="str">
        <f>IF('別紙様式2-2（個票（４、５月））'!M13="","",'別紙様式2-2（個票（４、５月））'!M13)</f>
        <v>処遇改善加算Ⅱ</v>
      </c>
      <c r="N13" s="523">
        <f>IF('別紙様式2-2（個票（４、５月））'!N13="","",'別紙様式2-2（個票（４、５月））'!N13)</f>
        <v>0.40200000000000002</v>
      </c>
      <c r="O13" s="286" t="s">
        <v>2215</v>
      </c>
      <c r="P13" s="555">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15">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加算対象</v>
      </c>
      <c r="AP13" s="557" t="str">
        <f>IF(AND(K13&lt;&gt;""),"O列に色付け","")</f>
        <v>O列に色付け</v>
      </c>
      <c r="AQ13" s="561" t="str">
        <f t="shared" ref="AQ13:AQ44" si="1">IF(AND(AE13&lt;&gt;0,AE13&lt;&gt;"",AO13="加算対象"),IF(AF13="○","入力済","未入力"),"")</f>
        <v>入力済</v>
      </c>
      <c r="AR13" s="561" t="str">
        <f>"キャリアパス要件Ⅰ・Ⅱ_"&amp;AO13</f>
        <v>キャリアパス要件Ⅰ・Ⅱ_加算対象</v>
      </c>
      <c r="AS13" s="540" t="str">
        <f t="shared" ref="AS13:AS44" si="2">IF(AND(O13&lt;&gt;"", AG13=""), "未入力", "入力済")</f>
        <v>入力済</v>
      </c>
      <c r="AT13" s="557" t="str">
        <f>IF(AND(O13&lt;&gt;"", O13&lt;&gt;"処遇改善加算Ⅳ",AO13="加算対象"),"AH列に色付け","")</f>
        <v>AH列に色付け</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対象</v>
      </c>
      <c r="AW13" s="540" t="str">
        <f>IF(AND(O13&lt;&gt;"", O13&lt;&gt;"処遇改善加算Ⅲ", O13&lt;&gt;"処遇改善加算Ⅳ",O13&lt;&gt;"処遇改善加算"),"対象", "")</f>
        <v>対象</v>
      </c>
      <c r="AX13" s="557" t="str">
        <f t="shared" ref="AX13:AX44" si="5">IF(AND(AW13=1, OR(AI13=0,AI13=""),AO13="加算対象"),"AH列に色付け","")</f>
        <v/>
      </c>
      <c r="AY13" s="540" t="str">
        <f>IFERROR(VLOOKUP(K13,【参考】数式用!$AR$3:$AS$49, 2, FALSE), "")</f>
        <v>居宅介護Ⅴ</v>
      </c>
      <c r="AZ13" s="557" t="str">
        <f>IF(AND(AO13="加算対象",OR(O13="処遇改善加算Ⅰイ",O13="処遇改善加算Ⅰロ")),"AJ列に色付け","")</f>
        <v>AJ列に色付け</v>
      </c>
      <c r="BA13" s="560" t="str">
        <f t="shared" ref="BA13:BA44" si="6">IF(AND(OR(O13="処遇改善加算Ⅰイ",O13="処遇改善加算Ⅰロ"), AJ13=""), "未入力","入力済")</f>
        <v>入力済</v>
      </c>
      <c r="BB13" s="540" t="str">
        <f>IFERROR(VLOOKUP(K13,【参考】数式用!$AX$3:$AY$59, 2, FALSE), "")</f>
        <v>居宅介護R8</v>
      </c>
      <c r="BC13" s="557" t="str">
        <f>IF(OR(COUNTIF(AG13:AI13,"*令和８年度特例要件を*")&gt;0,ISNUMBER(SEARCH("処遇改善加算Ⅰロ",O13)),ISNUMBER(SEARCH("処遇改善加算Ⅱロ",O13)),AO13="加算対象外"),"AK列に色付け","")</f>
        <v>AK列に色付け</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入力必要</v>
      </c>
      <c r="BH13" s="560" t="str">
        <f t="shared" ref="BH13:BH44" si="8">IF(AND(BE13="",BG13="入力必要"),IF(AK13="","未入力","入力済"),"")</f>
        <v>入力済</v>
      </c>
      <c r="BI13" s="560" t="str">
        <f t="shared" ref="BI13:BI44" si="9">G13</f>
        <v>東京都</v>
      </c>
      <c r="BJ13" s="27">
        <f>IF(COUNTIF(BG:BG,"*入力必要*"),1,0)</f>
        <v>1</v>
      </c>
      <c r="BK13" s="27" t="str">
        <f>IF(D3="", "", IF(SUM(AK6:AK7)&gt;=AK5,"○","×"))</f>
        <v>○</v>
      </c>
      <c r="BL13" s="607" t="str">
        <f>IF(AND(K13&lt;&gt;"",K13&lt;&gt;"計画相談支援",K13&lt;&gt;"地域相談支援（地域定着支援）",K13&lt;&gt;"地域相談支援（地域移行支援）",K13&lt;&gt;"障害児相談支援"),"O列に色付け","")</f>
        <v>O列に色付け</v>
      </c>
      <c r="BM13" s="607" t="str">
        <f>IF(OR(O13="処遇改善加算Ⅰロ",O13="処遇改善加算Ⅱロ"),"対象","")</f>
        <v>対象</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8">
        <f>IF(BN13="対象",ROUNDDOWN(L13*VLOOKUP(K13,【参考】数式用!$A$4:$J$42,10,FALSE)*AA13,0),"")</f>
        <v>1487404</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1234567900</v>
      </c>
      <c r="C14" s="957"/>
      <c r="D14" s="957"/>
      <c r="E14" s="957"/>
      <c r="F14" s="958"/>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24" t="str">
        <f>IF('別紙様式2-2（個票（４、５月））'!M14="","",'別紙様式2-2（個票（４、５月））'!M14)</f>
        <v>処遇改善加算Ⅳ</v>
      </c>
      <c r="N14" s="523">
        <f>IF('別紙様式2-2（個票（４、５月））'!N14="","",'別紙様式2-2（個票（４、５月））'!N14)</f>
        <v>5.4999999999999993E-2</v>
      </c>
      <c r="O14" s="286" t="s">
        <v>196</v>
      </c>
      <c r="P14" s="555">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加算対象</v>
      </c>
      <c r="AP14" s="557" t="str">
        <f t="shared" ref="AP14:AP77" si="13">IF(AND(K14&lt;&gt;""),"O列に色付け","")</f>
        <v>O列に色付け</v>
      </c>
      <c r="AQ14" s="561" t="str">
        <f t="shared" si="1"/>
        <v>入力済</v>
      </c>
      <c r="AR14" s="561" t="str">
        <f>"キャリアパス要件Ⅰ・Ⅱ_"&amp;AO14</f>
        <v>キャリアパス要件Ⅰ・Ⅱ_加算対象</v>
      </c>
      <c r="AS14" s="540" t="str">
        <f t="shared" si="2"/>
        <v>入力済</v>
      </c>
      <c r="AT14" s="557" t="str">
        <f t="shared" ref="AT14:AT77" si="14">IF(AND(O14&lt;&gt;"", O14&lt;&gt;"処遇改善加算Ⅳ",AO14="加算対象"),"AH列に色付け","")</f>
        <v>AH列に色付け</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生活介護V</v>
      </c>
      <c r="AZ14" s="557" t="str">
        <f t="shared" ref="AZ14:AZ77" si="16">IF(AND(AO14="加算対象",OR(O14="処遇改善加算Ⅰイ",O14="処遇改善加算Ⅰロ")),"AJ列に色付け","")</f>
        <v/>
      </c>
      <c r="BA14" s="560" t="str">
        <f t="shared" si="6"/>
        <v>入力済</v>
      </c>
      <c r="BB14" s="540" t="str">
        <f>IFERROR(VLOOKUP(K14,【参考】数式用!$AX$3:$AY$59, 2, FALSE), "")</f>
        <v>生活介護R8</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東京都</v>
      </c>
      <c r="BJ14" s="219"/>
      <c r="BK14" s="27"/>
      <c r="BL14" s="607" t="str">
        <f t="shared" ref="BL14:BL77" si="21">IF(AND(K14&lt;&gt;"",K14&lt;&gt;"計画相談支援",K14&lt;&gt;"地域相談支援（地域定着支援）",K14&lt;&gt;"地域相談支援（地域移行支援）",K14&lt;&gt;"障害児相談支援"),"O列に色付け","")</f>
        <v>O列に色付け</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1234567901</v>
      </c>
      <c r="C15" s="957"/>
      <c r="D15" s="957"/>
      <c r="E15" s="957"/>
      <c r="F15" s="958"/>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24" t="str">
        <f>IF('別紙様式2-2（個票（４、５月））'!M15="","",'別紙様式2-2（個票（４、５月））'!M15)</f>
        <v>処遇改善加算Ⅰ</v>
      </c>
      <c r="N15" s="523">
        <f>IF('別紙様式2-2（個票（４、５月））'!N15="","",'別紙様式2-2（個票（４、５月））'!N15)</f>
        <v>9.2999999999999999E-2</v>
      </c>
      <c r="O15" s="286" t="s">
        <v>2414</v>
      </c>
      <c r="P15" s="555">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57" t="str">
        <f>IFERROR(VLOOKUP(K15,【参考】数式用!$A$2:$N$57,14,FALSE),"")</f>
        <v>加算対象</v>
      </c>
      <c r="AP15" s="557" t="str">
        <f t="shared" si="13"/>
        <v>O列に色付け</v>
      </c>
      <c r="AQ15" s="561" t="str">
        <f t="shared" si="1"/>
        <v>入力済</v>
      </c>
      <c r="AR15" s="561" t="str">
        <f t="shared" ref="AR15:AR78" si="30">"キャリアパス要件Ⅰ・Ⅱ_"&amp;AO15</f>
        <v>キャリアパス要件Ⅰ・Ⅱ_加算対象</v>
      </c>
      <c r="AS15" s="540" t="str">
        <f t="shared" si="2"/>
        <v>入力済</v>
      </c>
      <c r="AT15" s="557" t="str">
        <f t="shared" si="14"/>
        <v>AH列に色付け</v>
      </c>
      <c r="AU15" s="540" t="str">
        <f t="shared" si="3"/>
        <v>入力済</v>
      </c>
      <c r="AV15" s="540" t="str">
        <f t="shared" si="4"/>
        <v>対象</v>
      </c>
      <c r="AW15" s="576" t="str">
        <f t="shared" si="15"/>
        <v>対象</v>
      </c>
      <c r="AX15" s="557" t="str">
        <f t="shared" si="5"/>
        <v/>
      </c>
      <c r="AY15" s="540" t="str">
        <f>IFERROR(VLOOKUP(K15,【参考】数式用!$AR$3:$AS$49, 2, FALSE), "")</f>
        <v>就労継続支援Ｂ型V</v>
      </c>
      <c r="AZ15" s="557" t="str">
        <f t="shared" si="16"/>
        <v>AJ列に色付け</v>
      </c>
      <c r="BA15" s="560" t="str">
        <f t="shared" si="6"/>
        <v>入力済</v>
      </c>
      <c r="BB15" s="540" t="str">
        <f>IFERROR(VLOOKUP(K15,【参考】数式用!$AX$3:$AY$59, 2, FALSE), "")</f>
        <v>就労継続支援Ｂ型R8</v>
      </c>
      <c r="BC15" s="557" t="str">
        <f t="shared" si="17"/>
        <v/>
      </c>
      <c r="BD15" s="560" t="str">
        <f t="shared" si="7"/>
        <v>入力済</v>
      </c>
      <c r="BE15" s="560" t="str">
        <f t="shared" si="18"/>
        <v/>
      </c>
      <c r="BF15" s="560" t="str">
        <f t="shared" si="19"/>
        <v/>
      </c>
      <c r="BG15" s="560" t="str">
        <f t="shared" si="20"/>
        <v/>
      </c>
      <c r="BH15" s="560" t="str">
        <f t="shared" si="8"/>
        <v/>
      </c>
      <c r="BI15" s="560" t="str">
        <f t="shared" si="9"/>
        <v>東京都</v>
      </c>
      <c r="BJ15" s="219"/>
      <c r="BK15" s="27"/>
      <c r="BL15" s="607" t="str">
        <f t="shared" si="21"/>
        <v>O列に色付け</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1234567902</v>
      </c>
      <c r="C16" s="957"/>
      <c r="D16" s="957"/>
      <c r="E16" s="957"/>
      <c r="F16" s="958"/>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24" t="str">
        <f>IF('別紙様式2-2（個票（４、５月））'!M16="","",'別紙様式2-2（個票（４、５月））'!M16)</f>
        <v>処遇改善加算Ⅳ</v>
      </c>
      <c r="N16" s="523">
        <f>IF('別紙様式2-2（個票（４、５月））'!N16="","",'別紙様式2-2（個票（４、５月））'!N16)</f>
        <v>0.08</v>
      </c>
      <c r="O16" s="286" t="s">
        <v>196</v>
      </c>
      <c r="P16" s="555">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7" t="str">
        <f>IFERROR(VLOOKUP(K16,【参考】数式用!$A$2:$N$57,14,FALSE),"")</f>
        <v>加算対象</v>
      </c>
      <c r="AP16" s="557" t="str">
        <f t="shared" si="13"/>
        <v>O列に色付け</v>
      </c>
      <c r="AQ16" s="561" t="str">
        <f t="shared" si="1"/>
        <v>入力済</v>
      </c>
      <c r="AR16" s="561" t="str">
        <f t="shared" si="30"/>
        <v>キャリアパス要件Ⅰ・Ⅱ_加算対象</v>
      </c>
      <c r="AS16" s="540" t="str">
        <f t="shared" si="2"/>
        <v>入力済</v>
      </c>
      <c r="AT16" s="557" t="str">
        <f t="shared" si="14"/>
        <v>AH列に色付け</v>
      </c>
      <c r="AU16" s="540" t="str">
        <f t="shared" si="3"/>
        <v>入力済</v>
      </c>
      <c r="AV16" s="540" t="str">
        <f t="shared" si="4"/>
        <v/>
      </c>
      <c r="AW16" s="576" t="str">
        <f t="shared" si="15"/>
        <v/>
      </c>
      <c r="AX16" s="557" t="str">
        <f t="shared" si="5"/>
        <v/>
      </c>
      <c r="AY16" s="540" t="str">
        <f>IFERROR(VLOOKUP(K16,【参考】数式用!$AR$3:$AS$49, 2, FALSE), "")</f>
        <v>自立訓練_生活訓練_V</v>
      </c>
      <c r="AZ16" s="557" t="str">
        <f t="shared" si="16"/>
        <v/>
      </c>
      <c r="BA16" s="560" t="str">
        <f t="shared" si="6"/>
        <v>入力済</v>
      </c>
      <c r="BB16" s="540" t="str">
        <f>IFERROR(VLOOKUP(K16,【参考】数式用!$AX$3:$AY$59, 2, FALSE), "")</f>
        <v>自立訓練_生活訓練_R8</v>
      </c>
      <c r="BC16" s="557" t="str">
        <f t="shared" si="17"/>
        <v/>
      </c>
      <c r="BD16" s="560" t="str">
        <f t="shared" si="7"/>
        <v>入力済</v>
      </c>
      <c r="BE16" s="560" t="str">
        <f t="shared" si="18"/>
        <v/>
      </c>
      <c r="BF16" s="560" t="str">
        <f t="shared" si="19"/>
        <v/>
      </c>
      <c r="BG16" s="560" t="str">
        <f t="shared" si="20"/>
        <v/>
      </c>
      <c r="BH16" s="560" t="str">
        <f t="shared" si="8"/>
        <v/>
      </c>
      <c r="BI16" s="560" t="str">
        <f t="shared" si="9"/>
        <v>東京都</v>
      </c>
      <c r="BJ16" s="219"/>
      <c r="BK16" s="27"/>
      <c r="BL16" s="607" t="str">
        <f t="shared" si="21"/>
        <v>O列に色付け</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1234567903</v>
      </c>
      <c r="C17" s="957"/>
      <c r="D17" s="957"/>
      <c r="E17" s="957"/>
      <c r="F17" s="958"/>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24" t="str">
        <f>IF('別紙様式2-2（個票（４、５月））'!M17="","",'別紙様式2-2（個票（４、５月））'!M17)</f>
        <v>処遇改善加算Ⅲ</v>
      </c>
      <c r="N17" s="523">
        <f>IF('別紙様式2-2（個票（４、５月））'!N17="","",'別紙様式2-2（個票（４、５月））'!N17)</f>
        <v>0.11599999999999999</v>
      </c>
      <c r="O17" s="286" t="s">
        <v>2413</v>
      </c>
      <c r="P17" s="555">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15">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57" t="str">
        <f>IFERROR(VLOOKUP(K17,【参考】数式用!$A$2:$N$57,14,FALSE),"")</f>
        <v>加算対象</v>
      </c>
      <c r="AP17" s="557" t="str">
        <f t="shared" si="13"/>
        <v>O列に色付け</v>
      </c>
      <c r="AQ17" s="561" t="str">
        <f t="shared" si="1"/>
        <v>入力済</v>
      </c>
      <c r="AR17" s="561" t="str">
        <f t="shared" si="30"/>
        <v>キャリアパス要件Ⅰ・Ⅱ_加算対象</v>
      </c>
      <c r="AS17" s="540" t="str">
        <f t="shared" si="2"/>
        <v>入力済</v>
      </c>
      <c r="AT17" s="557" t="str">
        <f t="shared" si="14"/>
        <v>AH列に色付け</v>
      </c>
      <c r="AU17" s="540" t="str">
        <f t="shared" si="3"/>
        <v>入力済</v>
      </c>
      <c r="AV17" s="540" t="str">
        <f t="shared" si="4"/>
        <v>対象</v>
      </c>
      <c r="AW17" s="576" t="str">
        <f t="shared" si="15"/>
        <v>対象</v>
      </c>
      <c r="AX17" s="557" t="str">
        <f t="shared" si="5"/>
        <v/>
      </c>
      <c r="AY17" s="540" t="str">
        <f>IFERROR(VLOOKUP(K17,【参考】数式用!$AR$3:$AS$49, 2, FALSE), "")</f>
        <v>療養介護V</v>
      </c>
      <c r="AZ17" s="557" t="str">
        <f t="shared" si="16"/>
        <v/>
      </c>
      <c r="BA17" s="560" t="str">
        <f t="shared" si="6"/>
        <v>入力済</v>
      </c>
      <c r="BB17" s="540" t="str">
        <f>IFERROR(VLOOKUP(K17,【参考】数式用!$AX$3:$AY$59, 2, FALSE), "")</f>
        <v>療養介護R8</v>
      </c>
      <c r="BC17" s="557" t="str">
        <f t="shared" si="17"/>
        <v>AK列に色付け</v>
      </c>
      <c r="BD17" s="560" t="str">
        <f t="shared" si="7"/>
        <v>入力済</v>
      </c>
      <c r="BE17" s="560" t="str">
        <f t="shared" si="18"/>
        <v/>
      </c>
      <c r="BF17" s="560" t="str">
        <f t="shared" si="19"/>
        <v/>
      </c>
      <c r="BG17" s="560" t="str">
        <f t="shared" si="20"/>
        <v>入力必要</v>
      </c>
      <c r="BH17" s="560" t="str">
        <f t="shared" si="8"/>
        <v>入力済</v>
      </c>
      <c r="BI17" s="560" t="str">
        <f t="shared" si="9"/>
        <v>東京都</v>
      </c>
      <c r="BJ17" s="219"/>
      <c r="BK17" s="27"/>
      <c r="BL17" s="607" t="str">
        <f t="shared" si="21"/>
        <v>O列に色付け</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特例要件</v>
      </c>
      <c r="BT17" s="607" t="str">
        <f t="shared" si="28"/>
        <v>Ⅱロ有り</v>
      </c>
      <c r="BU17" s="608">
        <f>IF(BT17="Ⅱロ有り",ROUNDDOWN(L17*VLOOKUP(K17,【参考】数式用!$A$4:$J$42,10,FALSE)*AA17,0),"")</f>
        <v>17985994</v>
      </c>
      <c r="BV17" s="607" t="str">
        <f>IF(BT17="Ⅱロなし",ROUNDDOWN(L17*VLOOKUP(K17,【参考】数式用!$A$4:$J$42,8,FALSE)*AA17,0),"")</f>
        <v/>
      </c>
    </row>
    <row r="18" spans="1:74" s="257" customFormat="1" ht="109.9" customHeight="1" thickBot="1">
      <c r="A18" s="303">
        <v>5</v>
      </c>
      <c r="B18" s="956" t="str">
        <f>IF(基本情報入力シート!B40="","",基本情報入力シート!B40)</f>
        <v>1234567904</v>
      </c>
      <c r="C18" s="957"/>
      <c r="D18" s="957"/>
      <c r="E18" s="957"/>
      <c r="F18" s="958"/>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24" t="str">
        <f>IF('別紙様式2-2（個票（４、５月））'!M18="","",'別紙様式2-2（個票（４、５月））'!M18)</f>
        <v/>
      </c>
      <c r="N18" s="523" t="str">
        <f>IF('別紙様式2-2（個票（４、５月））'!N18="","",'別紙様式2-2（個票（４、５月））'!N18)</f>
        <v/>
      </c>
      <c r="O18" s="286" t="s">
        <v>197</v>
      </c>
      <c r="P18" s="555">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2529</v>
      </c>
      <c r="AH18" s="319"/>
      <c r="AI18" s="318"/>
      <c r="AJ18" s="320"/>
      <c r="AK18" s="326" t="s">
        <v>2389</v>
      </c>
      <c r="AL18" s="324" t="str">
        <f t="shared" si="0"/>
        <v/>
      </c>
      <c r="AM18" s="325" t="str">
        <f t="shared" si="12"/>
        <v/>
      </c>
      <c r="AN18" s="255"/>
      <c r="AO18" s="557" t="str">
        <f>IFERROR(VLOOKUP(K18,【参考】数式用!$A$2:$N$57,14,FALSE),"")</f>
        <v>加算対象外</v>
      </c>
      <c r="AP18" s="557" t="str">
        <f t="shared" si="13"/>
        <v>O列に色付け</v>
      </c>
      <c r="AQ18" s="561" t="str">
        <f t="shared" si="1"/>
        <v/>
      </c>
      <c r="AR18" s="561" t="str">
        <f t="shared" si="30"/>
        <v>キャリアパス要件Ⅰ・Ⅱ_加算対象外</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計画相談支援R8</v>
      </c>
      <c r="BC18" s="557" t="str">
        <f t="shared" si="17"/>
        <v>AK列に色付け</v>
      </c>
      <c r="BD18" s="560" t="str">
        <f t="shared" si="7"/>
        <v>入力済</v>
      </c>
      <c r="BE18" s="560" t="str">
        <f t="shared" si="18"/>
        <v/>
      </c>
      <c r="BF18" s="560" t="str">
        <f t="shared" si="19"/>
        <v/>
      </c>
      <c r="BG18" s="560" t="str">
        <f t="shared" si="20"/>
        <v>入力必要</v>
      </c>
      <c r="BH18" s="560" t="str">
        <f t="shared" si="8"/>
        <v>入力済</v>
      </c>
      <c r="BI18" s="560" t="str">
        <f t="shared" si="9"/>
        <v>東京都</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対象</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1234567905</v>
      </c>
      <c r="C19" s="957"/>
      <c r="D19" s="957"/>
      <c r="E19" s="957"/>
      <c r="F19" s="958"/>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24" t="str">
        <f>IF('別紙様式2-2（個票（４、５月））'!M19="","",'別紙様式2-2（個票（４、５月））'!M19)</f>
        <v/>
      </c>
      <c r="N19" s="523" t="str">
        <f>IF('別紙様式2-2（個票（４、５月））'!N19="","",'別紙様式2-2（個票（４、５月））'!N19)</f>
        <v/>
      </c>
      <c r="O19" s="286" t="s">
        <v>197</v>
      </c>
      <c r="P19" s="555">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7" t="str">
        <f>IFERROR(VLOOKUP(K19,【参考】数式用!$A$2:$N$57,14,FALSE),"")</f>
        <v>加算対象外</v>
      </c>
      <c r="AP19" s="557" t="str">
        <f t="shared" si="13"/>
        <v>O列に色付け</v>
      </c>
      <c r="AQ19" s="561" t="str">
        <f t="shared" si="1"/>
        <v/>
      </c>
      <c r="AR19" s="561" t="str">
        <f t="shared" si="30"/>
        <v>キャリアパス要件Ⅰ・Ⅱ_加算対象外</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地域相談支援_地域移行支援_R8</v>
      </c>
      <c r="BC19" s="557" t="str">
        <f t="shared" si="17"/>
        <v>AK列に色付け</v>
      </c>
      <c r="BD19" s="560" t="str">
        <f t="shared" si="7"/>
        <v>入力済</v>
      </c>
      <c r="BE19" s="560" t="str">
        <f t="shared" si="18"/>
        <v/>
      </c>
      <c r="BF19" s="560" t="str">
        <f t="shared" si="19"/>
        <v>AK列色消し</v>
      </c>
      <c r="BG19" s="560" t="str">
        <f t="shared" si="20"/>
        <v/>
      </c>
      <c r="BH19" s="560" t="str">
        <f t="shared" si="8"/>
        <v/>
      </c>
      <c r="BI19" s="560" t="str">
        <f t="shared" si="9"/>
        <v>東京都</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対象</v>
      </c>
      <c r="BR19" s="609" t="str">
        <f t="shared" si="26"/>
        <v>対象</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1234567906</v>
      </c>
      <c r="C20" s="960"/>
      <c r="D20" s="960"/>
      <c r="E20" s="960"/>
      <c r="F20" s="961"/>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24" t="str">
        <f>IF('別紙様式2-2（個票（４、５月））'!M20="","",'別紙様式2-2（個票（４、５月））'!M20)</f>
        <v>処遇改善加算Ⅲ</v>
      </c>
      <c r="N20" s="523">
        <f>IF('別紙様式2-2（個票（４、５月））'!N20="","",'別紙様式2-2（個票（４、５月））'!N20)</f>
        <v>8.4000000000000005E-2</v>
      </c>
      <c r="O20" s="286" t="s">
        <v>196</v>
      </c>
      <c r="P20" s="555">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15">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57" t="str">
        <f>IFERROR(VLOOKUP(K20,【参考】数式用!$A$2:$N$57,14,FALSE),"")</f>
        <v>加算対象</v>
      </c>
      <c r="AP20" s="557" t="str">
        <f t="shared" si="13"/>
        <v>O列に色付け</v>
      </c>
      <c r="AQ20" s="561" t="str">
        <f t="shared" si="1"/>
        <v>入力済</v>
      </c>
      <c r="AR20" s="561" t="str">
        <f t="shared" si="30"/>
        <v>キャリアパス要件Ⅰ・Ⅱ_加算対象</v>
      </c>
      <c r="AS20" s="540" t="str">
        <f t="shared" si="2"/>
        <v>入力済</v>
      </c>
      <c r="AT20" s="557" t="str">
        <f t="shared" si="14"/>
        <v>AH列に色付け</v>
      </c>
      <c r="AU20" s="540" t="str">
        <f t="shared" si="3"/>
        <v>入力済</v>
      </c>
      <c r="AV20" s="540" t="str">
        <f t="shared" si="4"/>
        <v/>
      </c>
      <c r="AW20" s="576" t="str">
        <f t="shared" si="15"/>
        <v/>
      </c>
      <c r="AX20" s="557" t="str">
        <f t="shared" si="5"/>
        <v/>
      </c>
      <c r="AY20" s="540" t="str">
        <f>IFERROR(VLOOKUP(K20,【参考】数式用!$AR$3:$AS$49, 2, FALSE), "")</f>
        <v>障害者支援施設_生活介護V</v>
      </c>
      <c r="AZ20" s="557" t="str">
        <f t="shared" si="16"/>
        <v/>
      </c>
      <c r="BA20" s="560" t="str">
        <f t="shared" si="6"/>
        <v>入力済</v>
      </c>
      <c r="BB20" s="540" t="str">
        <f>IFERROR(VLOOKUP(K20,【参考】数式用!$AX$3:$AY$59, 2, FALSE), "")</f>
        <v>障害者支援施設_生活介護R8</v>
      </c>
      <c r="BC20" s="557" t="str">
        <f t="shared" si="17"/>
        <v/>
      </c>
      <c r="BD20" s="560" t="str">
        <f t="shared" si="7"/>
        <v>入力済</v>
      </c>
      <c r="BE20" s="560" t="str">
        <f t="shared" si="18"/>
        <v/>
      </c>
      <c r="BF20" s="560" t="str">
        <f t="shared" si="19"/>
        <v/>
      </c>
      <c r="BG20" s="560" t="str">
        <f t="shared" si="20"/>
        <v/>
      </c>
      <c r="BH20" s="560" t="str">
        <f t="shared" si="8"/>
        <v/>
      </c>
      <c r="BI20" s="560" t="str">
        <f t="shared" si="9"/>
        <v>東京都</v>
      </c>
      <c r="BK20" s="610"/>
      <c r="BL20" s="607" t="str">
        <f t="shared" si="21"/>
        <v>O列に色付け</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199</v>
      </c>
      <c r="C3" s="1058"/>
      <c r="D3" s="1058"/>
      <c r="E3" s="1058"/>
      <c r="F3" s="1058"/>
      <c r="G3" s="1058"/>
      <c r="H3" s="1058"/>
      <c r="I3" s="1058"/>
      <c r="J3" s="73"/>
    </row>
    <row r="4" spans="1:10" s="74" customFormat="1" ht="25.15" customHeight="1">
      <c r="A4" s="73"/>
      <c r="B4" s="1055" t="s">
        <v>200</v>
      </c>
      <c r="C4" s="1056"/>
      <c r="D4" s="1056"/>
      <c r="E4" s="1056"/>
      <c r="F4" s="1056"/>
      <c r="G4" s="1056"/>
      <c r="H4" s="1056"/>
      <c r="I4" s="1057"/>
      <c r="J4" s="73"/>
    </row>
    <row r="5" spans="1:10" s="74" customFormat="1" ht="25.15" customHeight="1">
      <c r="A5" s="73"/>
      <c r="B5" s="109" t="s">
        <v>201</v>
      </c>
      <c r="C5" s="1055" t="s">
        <v>202</v>
      </c>
      <c r="D5" s="1056"/>
      <c r="E5" s="1056"/>
      <c r="F5" s="1056"/>
      <c r="G5" s="1056"/>
      <c r="H5" s="1056"/>
      <c r="I5" s="1057"/>
      <c r="J5" s="73"/>
    </row>
    <row r="6" spans="1:10" s="74" customFormat="1" ht="25.15" customHeight="1">
      <c r="A6" s="73"/>
      <c r="B6" s="109" t="s">
        <v>203</v>
      </c>
      <c r="C6" s="1055" t="s">
        <v>204</v>
      </c>
      <c r="D6" s="1056"/>
      <c r="E6" s="1056"/>
      <c r="F6" s="1056"/>
      <c r="G6" s="1056"/>
      <c r="H6" s="1056"/>
      <c r="I6" s="1057"/>
      <c r="J6" s="73"/>
    </row>
    <row r="7" spans="1:10" s="74" customFormat="1" ht="25.15" customHeight="1">
      <c r="A7" s="73"/>
      <c r="B7" s="109" t="s">
        <v>205</v>
      </c>
      <c r="C7" s="1055" t="s">
        <v>206</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207</v>
      </c>
      <c r="C9" s="1058"/>
      <c r="D9" s="1058"/>
      <c r="E9" s="1058"/>
      <c r="F9" s="1058"/>
      <c r="G9" s="1058"/>
      <c r="H9" s="1058"/>
      <c r="I9" s="1058"/>
      <c r="J9" s="73"/>
    </row>
    <row r="10" spans="1:10" s="74" customFormat="1" ht="25.15" customHeight="1">
      <c r="A10" s="73"/>
      <c r="B10" s="1055" t="s">
        <v>208</v>
      </c>
      <c r="C10" s="1056"/>
      <c r="D10" s="1056"/>
      <c r="E10" s="1056"/>
      <c r="F10" s="1056"/>
      <c r="G10" s="1056"/>
      <c r="H10" s="1056"/>
      <c r="I10" s="1057"/>
      <c r="J10" s="73"/>
    </row>
    <row r="11" spans="1:10" s="74" customFormat="1" ht="56.45" customHeight="1">
      <c r="A11" s="73"/>
      <c r="B11" s="1059" t="s">
        <v>209</v>
      </c>
      <c r="C11" s="1052" t="s">
        <v>210</v>
      </c>
      <c r="D11" s="1053"/>
      <c r="E11" s="1053"/>
      <c r="F11" s="1053"/>
      <c r="G11" s="1053"/>
      <c r="H11" s="1053"/>
      <c r="I11" s="1054"/>
      <c r="J11" s="73"/>
    </row>
    <row r="12" spans="1:10" s="74" customFormat="1" ht="54.6" customHeight="1">
      <c r="A12" s="73"/>
      <c r="B12" s="1059"/>
      <c r="C12" s="1060" t="s">
        <v>211</v>
      </c>
      <c r="D12" s="109" t="s">
        <v>212</v>
      </c>
      <c r="E12" s="1052" t="s">
        <v>213</v>
      </c>
      <c r="F12" s="1053"/>
      <c r="G12" s="1053"/>
      <c r="H12" s="1053"/>
      <c r="I12" s="1054"/>
      <c r="J12" s="113"/>
    </row>
    <row r="13" spans="1:10" s="74" customFormat="1" ht="32.450000000000003" customHeight="1">
      <c r="A13" s="73"/>
      <c r="B13" s="1059"/>
      <c r="C13" s="1061"/>
      <c r="D13" s="109" t="s">
        <v>214</v>
      </c>
      <c r="E13" s="1052" t="s">
        <v>215</v>
      </c>
      <c r="F13" s="1053"/>
      <c r="G13" s="1053"/>
      <c r="H13" s="1053"/>
      <c r="I13" s="1054"/>
      <c r="J13" s="113"/>
    </row>
    <row r="14" spans="1:10" s="74" customFormat="1" ht="25.15" customHeight="1">
      <c r="A14" s="73"/>
      <c r="B14" s="109" t="s">
        <v>216</v>
      </c>
      <c r="C14" s="1055" t="s">
        <v>217</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065" t="s">
        <v>220</v>
      </c>
      <c r="B20" s="1066"/>
      <c r="C20" s="67" t="s">
        <v>221</v>
      </c>
      <c r="D20" s="68" t="s">
        <v>222</v>
      </c>
      <c r="E20" s="68" t="s">
        <v>223</v>
      </c>
      <c r="F20" s="68" t="s">
        <v>224</v>
      </c>
      <c r="G20" s="69"/>
      <c r="H20" s="69"/>
      <c r="I20" s="69"/>
    </row>
    <row r="21" spans="1:10" ht="96">
      <c r="A21" s="1067" t="s">
        <v>225</v>
      </c>
      <c r="B21" s="1066"/>
      <c r="C21" s="70" t="s">
        <v>226</v>
      </c>
      <c r="D21" s="70" t="s">
        <v>227</v>
      </c>
      <c r="E21" s="70" t="s">
        <v>228</v>
      </c>
      <c r="F21" s="70" t="s">
        <v>229</v>
      </c>
      <c r="G21" s="69"/>
      <c r="H21" s="69"/>
      <c r="I21" s="69"/>
    </row>
    <row r="22" spans="1:10" ht="85.5">
      <c r="A22" s="1067" t="s">
        <v>230</v>
      </c>
      <c r="B22" s="1066"/>
      <c r="C22" s="70" t="s">
        <v>231</v>
      </c>
      <c r="D22" s="70" t="s">
        <v>232</v>
      </c>
      <c r="E22" s="70" t="s">
        <v>233</v>
      </c>
      <c r="F22" s="71" t="s">
        <v>234</v>
      </c>
      <c r="G22" s="62"/>
      <c r="H22" s="62"/>
      <c r="I22" s="62"/>
    </row>
    <row r="23" spans="1:10" ht="85.5">
      <c r="A23" s="1067" t="s">
        <v>235</v>
      </c>
      <c r="B23" s="1066"/>
      <c r="C23" s="70" t="s">
        <v>236</v>
      </c>
      <c r="D23" s="70" t="s">
        <v>237</v>
      </c>
      <c r="E23" s="70" t="s">
        <v>238</v>
      </c>
      <c r="F23" s="71" t="s">
        <v>239</v>
      </c>
      <c r="G23" s="62"/>
      <c r="H23" s="62"/>
      <c r="I23" s="62"/>
    </row>
    <row r="24" spans="1:10">
      <c r="A24" s="62"/>
      <c r="B24" s="62"/>
      <c r="C24" s="62"/>
      <c r="D24" s="62"/>
      <c r="E24" s="62"/>
      <c r="F24" s="62"/>
      <c r="G24" s="62"/>
      <c r="H24" s="62"/>
      <c r="I24" s="62"/>
    </row>
    <row r="25" spans="1:10" ht="24">
      <c r="A25" s="1068" t="s">
        <v>240</v>
      </c>
      <c r="B25" s="1068"/>
      <c r="C25" s="1068"/>
      <c r="D25" s="1068"/>
      <c r="E25" s="1068"/>
      <c r="F25" s="1068"/>
      <c r="G25" s="1068"/>
      <c r="H25" s="1068"/>
      <c r="I25" s="1068"/>
    </row>
    <row r="26" spans="1:10" ht="24">
      <c r="A26" s="64" t="s">
        <v>241</v>
      </c>
      <c r="B26" s="64"/>
      <c r="C26" s="64"/>
      <c r="D26" s="64"/>
      <c r="E26" s="64"/>
      <c r="F26" s="64"/>
      <c r="G26" s="64"/>
      <c r="H26" s="64"/>
      <c r="I26" s="64"/>
    </row>
    <row r="27" spans="1:10" ht="24">
      <c r="A27" s="1062" t="s">
        <v>242</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8" zoomScale="70" zoomScaleNormal="70" zoomScaleSheetLayoutView="85" workbookViewId="0">
      <selection activeCell="BF15" sqref="BF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4.25" thickBot="1">
      <c r="A2" s="1076" t="s">
        <v>253</v>
      </c>
      <c r="B2" s="1071" t="s">
        <v>254</v>
      </c>
      <c r="C2" s="1074" t="s">
        <v>255</v>
      </c>
      <c r="D2" s="1074"/>
      <c r="E2" s="1074"/>
      <c r="F2" s="1075"/>
      <c r="G2" s="1073" t="s">
        <v>256</v>
      </c>
      <c r="H2" s="1074"/>
      <c r="I2" s="1074"/>
      <c r="J2" s="1074"/>
      <c r="K2" s="1074"/>
      <c r="L2" s="1074"/>
      <c r="M2" s="1075"/>
      <c r="N2" s="1073" t="s">
        <v>197</v>
      </c>
      <c r="O2" s="1079" t="s">
        <v>257</v>
      </c>
      <c r="Q2" s="1081" t="s">
        <v>258</v>
      </c>
      <c r="R2" s="1082"/>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083" t="s">
        <v>253</v>
      </c>
      <c r="AS2" s="1086"/>
      <c r="AT2" s="1089" t="s">
        <v>2356</v>
      </c>
      <c r="AU2" s="499"/>
      <c r="AV2" s="499"/>
      <c r="AX2" s="364" t="s">
        <v>253</v>
      </c>
      <c r="AY2" s="365" t="s">
        <v>269</v>
      </c>
      <c r="AZ2" s="365"/>
      <c r="BA2" s="365"/>
      <c r="BB2" s="506"/>
      <c r="BC2" s="506"/>
      <c r="BD2" s="507"/>
      <c r="BF2" s="263" t="s">
        <v>188</v>
      </c>
      <c r="BH2" s="11" t="s">
        <v>266</v>
      </c>
    </row>
    <row r="3" spans="1:60" ht="68.25" thickBot="1">
      <c r="A3" s="1077"/>
      <c r="B3" s="1072"/>
      <c r="C3" s="298" t="s">
        <v>182</v>
      </c>
      <c r="D3" s="299" t="s">
        <v>270</v>
      </c>
      <c r="E3" s="299" t="s">
        <v>196</v>
      </c>
      <c r="F3" s="299" t="s">
        <v>271</v>
      </c>
      <c r="G3" s="298" t="s">
        <v>272</v>
      </c>
      <c r="H3" s="298" t="s">
        <v>273</v>
      </c>
      <c r="I3" s="299" t="s">
        <v>274</v>
      </c>
      <c r="J3" s="299" t="s">
        <v>275</v>
      </c>
      <c r="K3" s="299" t="s">
        <v>276</v>
      </c>
      <c r="L3" s="299" t="s">
        <v>277</v>
      </c>
      <c r="M3" s="356" t="s">
        <v>278</v>
      </c>
      <c r="N3" s="1078"/>
      <c r="O3" s="1080"/>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2273</v>
      </c>
      <c r="AP3" s="268" t="s">
        <v>2344</v>
      </c>
      <c r="AQ3" s="374"/>
      <c r="AR3" s="1084"/>
      <c r="AS3" s="1087"/>
      <c r="AT3" s="1090"/>
      <c r="AU3" s="500"/>
      <c r="AV3" s="501"/>
      <c r="AX3" s="80" t="s">
        <v>2273</v>
      </c>
      <c r="AY3" s="80" t="s">
        <v>2362</v>
      </c>
      <c r="AZ3" s="359" t="s">
        <v>2387</v>
      </c>
      <c r="BA3" s="526" t="s">
        <v>2462</v>
      </c>
      <c r="BB3" s="84" t="s">
        <v>2388</v>
      </c>
      <c r="BC3" s="361"/>
      <c r="BD3" s="505"/>
      <c r="BF3" s="264"/>
      <c r="BH3" s="9" t="s">
        <v>285</v>
      </c>
    </row>
    <row r="4" spans="1:60" ht="68.25" thickBot="1">
      <c r="A4" s="80" t="s">
        <v>2273</v>
      </c>
      <c r="B4" s="278" t="s">
        <v>2274</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2275</v>
      </c>
      <c r="AP4" s="273" t="s">
        <v>2344</v>
      </c>
      <c r="AQ4" s="374"/>
      <c r="AR4" s="1085"/>
      <c r="AS4" s="1088"/>
      <c r="AT4" s="1091"/>
      <c r="AU4" s="500"/>
      <c r="AV4" s="501"/>
      <c r="AX4" s="10" t="s">
        <v>2275</v>
      </c>
      <c r="AY4" s="10" t="s">
        <v>2363</v>
      </c>
      <c r="AZ4" s="359" t="s">
        <v>2387</v>
      </c>
      <c r="BA4" s="526" t="s">
        <v>2462</v>
      </c>
      <c r="BB4" s="84" t="s">
        <v>2388</v>
      </c>
      <c r="BC4" s="360"/>
      <c r="BD4" s="505"/>
      <c r="BF4" s="2"/>
      <c r="BH4" s="377" t="s">
        <v>267</v>
      </c>
    </row>
    <row r="5" spans="1:60" ht="68.25" thickBot="1">
      <c r="A5" s="10" t="s">
        <v>2275</v>
      </c>
      <c r="B5" s="279" t="s">
        <v>2276</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2277</v>
      </c>
      <c r="AP5" s="273" t="s">
        <v>2344</v>
      </c>
      <c r="AQ5" s="374"/>
      <c r="AR5" s="265" t="s">
        <v>2273</v>
      </c>
      <c r="AS5" s="265" t="s">
        <v>2415</v>
      </c>
      <c r="AT5" s="266" t="s">
        <v>2357</v>
      </c>
      <c r="AU5" s="500"/>
      <c r="AV5" s="501"/>
      <c r="AX5" s="10" t="s">
        <v>2277</v>
      </c>
      <c r="AY5" s="10" t="s">
        <v>2364</v>
      </c>
      <c r="AZ5" s="359" t="s">
        <v>2387</v>
      </c>
      <c r="BA5" s="526" t="s">
        <v>2462</v>
      </c>
      <c r="BB5" s="84" t="s">
        <v>2388</v>
      </c>
      <c r="BC5" s="360"/>
      <c r="BD5" s="505"/>
      <c r="BF5" s="263" t="s">
        <v>188</v>
      </c>
      <c r="BH5" s="8"/>
    </row>
    <row r="6" spans="1:60" ht="68.25" thickBot="1">
      <c r="A6" s="10" t="s">
        <v>2277</v>
      </c>
      <c r="B6" s="279" t="s">
        <v>2278</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2279</v>
      </c>
      <c r="AP6" s="273" t="s">
        <v>2344</v>
      </c>
      <c r="AQ6" s="374"/>
      <c r="AR6" s="269" t="s">
        <v>2275</v>
      </c>
      <c r="AS6" s="269" t="s">
        <v>2416</v>
      </c>
      <c r="AT6" s="270" t="s">
        <v>2358</v>
      </c>
      <c r="AU6" s="500"/>
      <c r="AV6" s="501"/>
      <c r="AX6" s="10" t="s">
        <v>2279</v>
      </c>
      <c r="AY6" s="10" t="s">
        <v>2365</v>
      </c>
      <c r="AZ6" s="359" t="s">
        <v>2387</v>
      </c>
      <c r="BA6" s="526" t="s">
        <v>2462</v>
      </c>
      <c r="BB6" s="84" t="s">
        <v>2388</v>
      </c>
      <c r="BC6" s="360"/>
      <c r="BD6" s="505"/>
      <c r="BF6" s="271" t="s">
        <v>189</v>
      </c>
    </row>
    <row r="7" spans="1:60" ht="68.25" thickBot="1">
      <c r="A7" s="628" t="s">
        <v>2279</v>
      </c>
      <c r="B7" s="279" t="s">
        <v>2280</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2281</v>
      </c>
      <c r="AP7" s="273" t="s">
        <v>2344</v>
      </c>
      <c r="AQ7" s="374"/>
      <c r="AR7" s="269" t="s">
        <v>2277</v>
      </c>
      <c r="AS7" s="269" t="s">
        <v>2417</v>
      </c>
      <c r="AT7" s="270" t="s">
        <v>2357</v>
      </c>
      <c r="AU7" s="500"/>
      <c r="AV7" s="501"/>
      <c r="AX7" s="10" t="s">
        <v>2281</v>
      </c>
      <c r="AY7" s="10" t="s">
        <v>2366</v>
      </c>
      <c r="AZ7" s="359" t="s">
        <v>2387</v>
      </c>
      <c r="BA7" s="526" t="s">
        <v>2462</v>
      </c>
      <c r="BB7" s="84" t="s">
        <v>2388</v>
      </c>
      <c r="BC7" s="360"/>
      <c r="BD7" s="505"/>
      <c r="BF7" s="271" t="s">
        <v>2189</v>
      </c>
    </row>
    <row r="8" spans="1:60" ht="68.25" thickBot="1">
      <c r="A8" s="617" t="s">
        <v>2281</v>
      </c>
      <c r="B8" s="279" t="s">
        <v>2282</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2283</v>
      </c>
      <c r="AP8" s="273" t="s">
        <v>2344</v>
      </c>
      <c r="AQ8" s="374"/>
      <c r="AR8" s="269" t="s">
        <v>2279</v>
      </c>
      <c r="AS8" s="269" t="s">
        <v>2418</v>
      </c>
      <c r="AT8" s="270" t="s">
        <v>2358</v>
      </c>
      <c r="AU8" s="500"/>
      <c r="AV8" s="501"/>
      <c r="AX8" s="10" t="s">
        <v>2283</v>
      </c>
      <c r="AY8" s="10" t="s">
        <v>2367</v>
      </c>
      <c r="AZ8" s="359" t="s">
        <v>2387</v>
      </c>
      <c r="BA8" s="526" t="s">
        <v>2462</v>
      </c>
      <c r="BB8" s="84" t="s">
        <v>2388</v>
      </c>
      <c r="BC8" s="360"/>
      <c r="BD8" s="505"/>
      <c r="BF8" s="264"/>
    </row>
    <row r="9" spans="1:60" ht="68.25" thickBot="1">
      <c r="A9" s="10" t="s">
        <v>2283</v>
      </c>
      <c r="B9" s="279" t="s">
        <v>2284</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2285</v>
      </c>
      <c r="AP9" s="273" t="s">
        <v>2344</v>
      </c>
      <c r="AQ9" s="374"/>
      <c r="AR9" s="269" t="s">
        <v>2281</v>
      </c>
      <c r="AS9" s="269" t="s">
        <v>2419</v>
      </c>
      <c r="AT9" s="270" t="s">
        <v>2359</v>
      </c>
      <c r="AU9" s="500"/>
      <c r="AV9" s="500"/>
      <c r="AX9" s="10" t="s">
        <v>2285</v>
      </c>
      <c r="AY9" s="10" t="s">
        <v>2368</v>
      </c>
      <c r="AZ9" s="359" t="s">
        <v>2387</v>
      </c>
      <c r="BA9" s="526" t="s">
        <v>2462</v>
      </c>
      <c r="BB9" s="84" t="s">
        <v>2388</v>
      </c>
      <c r="BC9" s="360"/>
      <c r="BD9" s="505"/>
      <c r="BF9" s="2"/>
    </row>
    <row r="10" spans="1:60" ht="68.25" thickBot="1">
      <c r="A10" s="617" t="s">
        <v>2285</v>
      </c>
      <c r="B10" s="279" t="s">
        <v>2286</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2345</v>
      </c>
      <c r="AP10" s="273" t="s">
        <v>2344</v>
      </c>
      <c r="AQ10" s="374"/>
      <c r="AR10" s="269" t="s">
        <v>2283</v>
      </c>
      <c r="AS10" s="269" t="s">
        <v>2420</v>
      </c>
      <c r="AT10" s="270" t="s">
        <v>2360</v>
      </c>
      <c r="AU10" s="500"/>
      <c r="AV10" s="501"/>
      <c r="AX10" s="10" t="s">
        <v>2287</v>
      </c>
      <c r="AY10" s="10" t="s">
        <v>2369</v>
      </c>
      <c r="AZ10" s="359" t="s">
        <v>2387</v>
      </c>
      <c r="BA10" s="526" t="s">
        <v>2462</v>
      </c>
      <c r="BB10" s="84" t="s">
        <v>2388</v>
      </c>
      <c r="BC10" s="360"/>
      <c r="BD10" s="505"/>
      <c r="BF10" s="351" t="s">
        <v>312</v>
      </c>
    </row>
    <row r="11" spans="1:60" ht="68.25" thickBot="1">
      <c r="A11" s="617" t="s">
        <v>2287</v>
      </c>
      <c r="B11" s="279" t="s">
        <v>2288</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2289</v>
      </c>
      <c r="AP11" s="273" t="s">
        <v>2344</v>
      </c>
      <c r="AQ11" s="374"/>
      <c r="AR11" s="269" t="s">
        <v>2285</v>
      </c>
      <c r="AS11" s="269" t="s">
        <v>2421</v>
      </c>
      <c r="AT11" s="270" t="s">
        <v>2359</v>
      </c>
      <c r="AU11" s="500"/>
      <c r="AV11" s="501"/>
      <c r="AX11" s="10" t="s">
        <v>2289</v>
      </c>
      <c r="AY11" s="10" t="s">
        <v>2370</v>
      </c>
      <c r="AZ11" s="359" t="s">
        <v>2387</v>
      </c>
      <c r="BA11" s="526" t="s">
        <v>2462</v>
      </c>
      <c r="BB11" s="84" t="s">
        <v>2388</v>
      </c>
      <c r="BC11" s="360"/>
      <c r="BD11" s="505"/>
      <c r="BF11" s="263" t="s">
        <v>188</v>
      </c>
    </row>
    <row r="12" spans="1:60" ht="68.25" thickBot="1">
      <c r="A12" s="10" t="s">
        <v>2289</v>
      </c>
      <c r="B12" s="279" t="s">
        <v>2290</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2291</v>
      </c>
      <c r="AP12" s="273" t="s">
        <v>2344</v>
      </c>
      <c r="AQ12" s="374"/>
      <c r="AR12" s="269" t="s">
        <v>2345</v>
      </c>
      <c r="AS12" s="269" t="s">
        <v>2422</v>
      </c>
      <c r="AT12" s="270" t="s">
        <v>2359</v>
      </c>
      <c r="AU12" s="500"/>
      <c r="AV12" s="500"/>
      <c r="AX12" s="10" t="s">
        <v>2291</v>
      </c>
      <c r="AY12" s="10" t="s">
        <v>2452</v>
      </c>
      <c r="AZ12" s="359" t="s">
        <v>2387</v>
      </c>
      <c r="BA12" s="526" t="s">
        <v>2462</v>
      </c>
      <c r="BB12" s="84" t="s">
        <v>2388</v>
      </c>
      <c r="BC12" s="360"/>
      <c r="BD12" s="505"/>
      <c r="BF12" s="271" t="s">
        <v>189</v>
      </c>
    </row>
    <row r="13" spans="1:60" ht="68.25" thickBot="1">
      <c r="A13" s="10" t="s">
        <v>2291</v>
      </c>
      <c r="B13" s="279" t="s">
        <v>2292</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2293</v>
      </c>
      <c r="AP13" s="273" t="s">
        <v>2344</v>
      </c>
      <c r="AQ13" s="374"/>
      <c r="AR13" s="269" t="s">
        <v>2289</v>
      </c>
      <c r="AS13" s="269" t="s">
        <v>2423</v>
      </c>
      <c r="AT13" s="270" t="s">
        <v>2360</v>
      </c>
      <c r="AU13" s="500"/>
      <c r="AV13" s="500"/>
      <c r="AX13" s="10" t="s">
        <v>2293</v>
      </c>
      <c r="AY13" s="10" t="s">
        <v>2439</v>
      </c>
      <c r="AZ13" s="359" t="s">
        <v>2387</v>
      </c>
      <c r="BA13" s="526" t="s">
        <v>2462</v>
      </c>
      <c r="BB13" s="84" t="s">
        <v>2388</v>
      </c>
      <c r="BC13" s="360"/>
      <c r="BD13" s="505"/>
      <c r="BF13" s="271" t="s">
        <v>2189</v>
      </c>
    </row>
    <row r="14" spans="1:60" ht="68.25" thickBot="1">
      <c r="A14" s="10" t="s">
        <v>2293</v>
      </c>
      <c r="B14" s="279" t="s">
        <v>2294</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2346</v>
      </c>
      <c r="AP14" s="273" t="s">
        <v>2344</v>
      </c>
      <c r="AQ14" s="374"/>
      <c r="AR14" s="269" t="s">
        <v>2291</v>
      </c>
      <c r="AS14" s="269" t="s">
        <v>2440</v>
      </c>
      <c r="AT14" s="270" t="s">
        <v>2360</v>
      </c>
      <c r="AU14" s="500"/>
      <c r="AV14" s="500"/>
      <c r="AX14" s="10" t="s">
        <v>2295</v>
      </c>
      <c r="AY14" s="10" t="s">
        <v>2371</v>
      </c>
      <c r="AZ14" s="359" t="s">
        <v>2387</v>
      </c>
      <c r="BA14" s="526" t="s">
        <v>2462</v>
      </c>
      <c r="BB14" s="84" t="s">
        <v>2388</v>
      </c>
      <c r="BC14" s="360"/>
      <c r="BD14" s="505"/>
      <c r="BF14" s="264"/>
    </row>
    <row r="15" spans="1:60" ht="68.25" thickBot="1">
      <c r="A15" s="628" t="s">
        <v>2295</v>
      </c>
      <c r="B15" s="279" t="s">
        <v>2296</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2347</v>
      </c>
      <c r="AP15" s="273" t="s">
        <v>2344</v>
      </c>
      <c r="AQ15" s="374"/>
      <c r="AR15" s="269" t="s">
        <v>2293</v>
      </c>
      <c r="AS15" s="269" t="s">
        <v>2441</v>
      </c>
      <c r="AT15" s="270" t="s">
        <v>2360</v>
      </c>
      <c r="AU15" s="500"/>
      <c r="AV15" s="500"/>
      <c r="AX15" s="10" t="s">
        <v>2297</v>
      </c>
      <c r="AY15" s="10" t="s">
        <v>2372</v>
      </c>
      <c r="AZ15" s="359" t="s">
        <v>2387</v>
      </c>
      <c r="BA15" s="526" t="s">
        <v>2462</v>
      </c>
      <c r="BB15" s="84" t="s">
        <v>2388</v>
      </c>
      <c r="BC15" s="360"/>
      <c r="BD15" s="505"/>
      <c r="BF15" s="351" t="s">
        <v>329</v>
      </c>
    </row>
    <row r="16" spans="1:60" ht="68.25" thickBot="1">
      <c r="A16" s="10" t="s">
        <v>2297</v>
      </c>
      <c r="B16" s="279" t="s">
        <v>2298</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2299</v>
      </c>
      <c r="AP16" s="273" t="s">
        <v>2344</v>
      </c>
      <c r="AQ16" s="374"/>
      <c r="AR16" s="269" t="s">
        <v>2361</v>
      </c>
      <c r="AS16" s="269" t="s">
        <v>2424</v>
      </c>
      <c r="AT16" s="270" t="s">
        <v>2360</v>
      </c>
      <c r="AU16" s="500"/>
      <c r="AV16" s="500"/>
      <c r="AX16" s="10" t="s">
        <v>2299</v>
      </c>
      <c r="AY16" s="10" t="s">
        <v>2373</v>
      </c>
      <c r="AZ16" s="359" t="s">
        <v>2387</v>
      </c>
      <c r="BA16" s="526" t="s">
        <v>2462</v>
      </c>
      <c r="BB16" s="84" t="s">
        <v>2388</v>
      </c>
      <c r="BC16" s="360"/>
      <c r="BD16" s="505"/>
      <c r="BF16" s="3" t="s">
        <v>188</v>
      </c>
    </row>
    <row r="17" spans="1:58" ht="68.25" thickBot="1">
      <c r="A17" s="10" t="s">
        <v>2299</v>
      </c>
      <c r="B17" s="279" t="s">
        <v>2300</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2348</v>
      </c>
      <c r="AP17" s="273" t="s">
        <v>2344</v>
      </c>
      <c r="AQ17" s="374"/>
      <c r="AR17" s="269" t="s">
        <v>2347</v>
      </c>
      <c r="AS17" s="269" t="s">
        <v>2425</v>
      </c>
      <c r="AT17" s="270" t="s">
        <v>2360</v>
      </c>
      <c r="AU17" s="500"/>
      <c r="AV17" s="501"/>
      <c r="AX17" s="10" t="s">
        <v>2301</v>
      </c>
      <c r="AY17" s="10" t="s">
        <v>2451</v>
      </c>
      <c r="AZ17" s="359" t="s">
        <v>2387</v>
      </c>
      <c r="BA17" s="526" t="s">
        <v>2462</v>
      </c>
      <c r="BB17" s="84" t="s">
        <v>2388</v>
      </c>
      <c r="BC17" s="360"/>
      <c r="BD17" s="505"/>
      <c r="BF17" s="629" t="s">
        <v>267</v>
      </c>
    </row>
    <row r="18" spans="1:58" ht="68.25" thickBot="1">
      <c r="A18" s="10" t="s">
        <v>2301</v>
      </c>
      <c r="B18" s="279" t="s">
        <v>2302</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2303</v>
      </c>
      <c r="AP18" s="273" t="s">
        <v>2344</v>
      </c>
      <c r="AQ18" s="374"/>
      <c r="AR18" s="269" t="s">
        <v>2299</v>
      </c>
      <c r="AS18" s="269" t="s">
        <v>2426</v>
      </c>
      <c r="AT18" s="270" t="s">
        <v>2360</v>
      </c>
      <c r="AU18" s="500"/>
      <c r="AV18" s="501"/>
      <c r="AX18" s="10" t="s">
        <v>2303</v>
      </c>
      <c r="AY18" s="10" t="s">
        <v>2374</v>
      </c>
      <c r="AZ18" s="359" t="s">
        <v>2387</v>
      </c>
      <c r="BA18" s="526" t="s">
        <v>2462</v>
      </c>
      <c r="BB18" s="84" t="s">
        <v>2388</v>
      </c>
      <c r="BC18" s="360"/>
      <c r="BD18" s="505"/>
      <c r="BF18" s="11" t="s">
        <v>109</v>
      </c>
    </row>
    <row r="19" spans="1:58" ht="68.25" thickBot="1">
      <c r="A19" s="10" t="s">
        <v>2303</v>
      </c>
      <c r="B19" s="279" t="s">
        <v>2304</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2305</v>
      </c>
      <c r="AP19" s="273" t="s">
        <v>2344</v>
      </c>
      <c r="AQ19" s="374"/>
      <c r="AR19" s="269" t="s">
        <v>2348</v>
      </c>
      <c r="AS19" s="269" t="s">
        <v>2442</v>
      </c>
      <c r="AT19" s="270" t="s">
        <v>2360</v>
      </c>
      <c r="AU19" s="500"/>
      <c r="AV19" s="501"/>
      <c r="AX19" s="10" t="s">
        <v>2305</v>
      </c>
      <c r="AY19" s="10" t="s">
        <v>2375</v>
      </c>
      <c r="AZ19" s="359" t="s">
        <v>2387</v>
      </c>
      <c r="BA19" s="526" t="s">
        <v>2462</v>
      </c>
      <c r="BB19" s="84" t="s">
        <v>2388</v>
      </c>
      <c r="BC19" s="360"/>
      <c r="BD19" s="504"/>
      <c r="BF19" s="11"/>
    </row>
    <row r="20" spans="1:58" ht="68.25" thickBot="1">
      <c r="A20" s="10" t="s">
        <v>2305</v>
      </c>
      <c r="B20" s="279" t="s">
        <v>2306</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2349</v>
      </c>
      <c r="AP20" s="273" t="s">
        <v>2344</v>
      </c>
      <c r="AQ20" s="374"/>
      <c r="AR20" s="269" t="s">
        <v>2303</v>
      </c>
      <c r="AS20" s="269" t="s">
        <v>2427</v>
      </c>
      <c r="AT20" s="270" t="s">
        <v>2360</v>
      </c>
      <c r="AU20" s="500"/>
      <c r="AV20" s="501"/>
      <c r="AX20" s="10" t="s">
        <v>2307</v>
      </c>
      <c r="AY20" s="10" t="s">
        <v>2376</v>
      </c>
      <c r="AZ20" s="359" t="s">
        <v>2387</v>
      </c>
      <c r="BA20" s="526" t="s">
        <v>2462</v>
      </c>
      <c r="BB20" s="84" t="s">
        <v>2388</v>
      </c>
      <c r="BC20" s="360"/>
      <c r="BD20" s="504"/>
    </row>
    <row r="21" spans="1:58" ht="68.25" thickBot="1">
      <c r="A21" s="617" t="s">
        <v>2307</v>
      </c>
      <c r="B21" s="279" t="s">
        <v>2308</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2350</v>
      </c>
      <c r="AP21" s="273" t="s">
        <v>2344</v>
      </c>
      <c r="AQ21" s="374"/>
      <c r="AR21" s="269" t="s">
        <v>2305</v>
      </c>
      <c r="AS21" s="269" t="s">
        <v>2428</v>
      </c>
      <c r="AT21" s="270" t="s">
        <v>2360</v>
      </c>
      <c r="AU21" s="500"/>
      <c r="AV21" s="501"/>
      <c r="AX21" s="10" t="s">
        <v>2309</v>
      </c>
      <c r="AY21" s="10" t="s">
        <v>2377</v>
      </c>
      <c r="AZ21" s="359" t="s">
        <v>2387</v>
      </c>
      <c r="BA21" s="526" t="s">
        <v>2462</v>
      </c>
      <c r="BB21" s="84" t="s">
        <v>2388</v>
      </c>
      <c r="BC21" s="360"/>
      <c r="BD21" s="504"/>
      <c r="BF21" s="388" t="s">
        <v>2216</v>
      </c>
    </row>
    <row r="22" spans="1:58" ht="68.25" thickBot="1">
      <c r="A22" s="10" t="s">
        <v>2309</v>
      </c>
      <c r="B22" s="279" t="s">
        <v>2310</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2351</v>
      </c>
      <c r="AP22" s="273" t="s">
        <v>2344</v>
      </c>
      <c r="AQ22" s="374"/>
      <c r="AR22" s="269" t="s">
        <v>2349</v>
      </c>
      <c r="AS22" s="269" t="s">
        <v>2429</v>
      </c>
      <c r="AT22" s="270" t="s">
        <v>2359</v>
      </c>
      <c r="AU22" s="500"/>
      <c r="AV22" s="501"/>
      <c r="AX22" s="10" t="s">
        <v>2311</v>
      </c>
      <c r="AY22" s="10" t="s">
        <v>2450</v>
      </c>
      <c r="AZ22" s="359" t="s">
        <v>2387</v>
      </c>
      <c r="BA22" s="526" t="s">
        <v>2462</v>
      </c>
      <c r="BB22" s="84" t="s">
        <v>2388</v>
      </c>
      <c r="BC22" s="360"/>
      <c r="BD22" s="504"/>
      <c r="BF22" s="263" t="s">
        <v>188</v>
      </c>
    </row>
    <row r="23" spans="1:58" ht="68.25" thickBot="1">
      <c r="A23" s="10" t="s">
        <v>2311</v>
      </c>
      <c r="B23" s="279" t="s">
        <v>2312</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2352</v>
      </c>
      <c r="AP23" s="273" t="s">
        <v>2344</v>
      </c>
      <c r="AQ23" s="374"/>
      <c r="AR23" s="269" t="s">
        <v>2350</v>
      </c>
      <c r="AS23" s="269" t="s">
        <v>2430</v>
      </c>
      <c r="AT23" s="270" t="s">
        <v>2360</v>
      </c>
      <c r="AU23" s="500"/>
      <c r="AV23" s="501"/>
      <c r="AX23" s="10" t="s">
        <v>2313</v>
      </c>
      <c r="AY23" s="10" t="s">
        <v>2449</v>
      </c>
      <c r="AZ23" s="359" t="s">
        <v>2387</v>
      </c>
      <c r="BA23" s="526" t="s">
        <v>2462</v>
      </c>
      <c r="BB23" s="84" t="s">
        <v>2388</v>
      </c>
      <c r="BC23" s="360"/>
      <c r="BD23" s="504"/>
      <c r="BF23" s="271"/>
    </row>
    <row r="24" spans="1:58" ht="68.25" thickBot="1">
      <c r="A24" s="10" t="s">
        <v>2313</v>
      </c>
      <c r="B24" s="279" t="s">
        <v>2312</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2353</v>
      </c>
      <c r="AP24" s="273" t="s">
        <v>2344</v>
      </c>
      <c r="AQ24" s="374"/>
      <c r="AR24" s="269" t="s">
        <v>2351</v>
      </c>
      <c r="AS24" s="269" t="s">
        <v>2443</v>
      </c>
      <c r="AT24" s="270" t="s">
        <v>2360</v>
      </c>
      <c r="AU24" s="500"/>
      <c r="AV24" s="501"/>
      <c r="AX24" s="10" t="s">
        <v>2314</v>
      </c>
      <c r="AY24" s="10" t="s">
        <v>2448</v>
      </c>
      <c r="AZ24" s="359" t="s">
        <v>2387</v>
      </c>
      <c r="BA24" s="526" t="s">
        <v>2462</v>
      </c>
      <c r="BB24" s="84" t="s">
        <v>2388</v>
      </c>
      <c r="BC24" s="360"/>
      <c r="BD24" s="504"/>
      <c r="BF24" s="271"/>
    </row>
    <row r="25" spans="1:58" ht="68.25" thickBot="1">
      <c r="A25" s="10" t="s">
        <v>2314</v>
      </c>
      <c r="B25" s="279" t="s">
        <v>2312</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2315</v>
      </c>
      <c r="AP25" s="273" t="s">
        <v>2344</v>
      </c>
      <c r="AQ25" s="374"/>
      <c r="AR25" s="269" t="s">
        <v>2352</v>
      </c>
      <c r="AS25" s="269" t="s">
        <v>2444</v>
      </c>
      <c r="AT25" s="270" t="s">
        <v>2360</v>
      </c>
      <c r="AU25" s="500"/>
      <c r="AV25" s="501"/>
      <c r="AX25" s="10" t="s">
        <v>2315</v>
      </c>
      <c r="AY25" s="10" t="s">
        <v>2378</v>
      </c>
      <c r="AZ25" s="359" t="s">
        <v>2387</v>
      </c>
      <c r="BA25" s="526" t="s">
        <v>2462</v>
      </c>
      <c r="BB25" s="84" t="s">
        <v>2388</v>
      </c>
      <c r="BC25" s="360"/>
      <c r="BD25" s="504"/>
      <c r="BF25" s="271"/>
    </row>
    <row r="26" spans="1:58" ht="68.25" thickBot="1">
      <c r="A26" s="10" t="s">
        <v>2315</v>
      </c>
      <c r="B26" s="279" t="s">
        <v>2316</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2317</v>
      </c>
      <c r="AP26" s="273" t="s">
        <v>2344</v>
      </c>
      <c r="AQ26" s="374"/>
      <c r="AR26" s="269" t="s">
        <v>2353</v>
      </c>
      <c r="AS26" s="269" t="s">
        <v>2445</v>
      </c>
      <c r="AT26" s="270" t="s">
        <v>2360</v>
      </c>
      <c r="AU26" s="500"/>
      <c r="AV26" s="501"/>
      <c r="AX26" s="10" t="s">
        <v>2317</v>
      </c>
      <c r="AY26" s="10" t="s">
        <v>2379</v>
      </c>
      <c r="AZ26" s="359" t="s">
        <v>2387</v>
      </c>
      <c r="BA26" s="526" t="s">
        <v>2462</v>
      </c>
      <c r="BB26" s="84" t="s">
        <v>2388</v>
      </c>
      <c r="BC26" s="360"/>
      <c r="BD26" s="504"/>
      <c r="BF26" s="508"/>
    </row>
    <row r="27" spans="1:58" ht="68.25" thickBot="1">
      <c r="A27" s="10" t="s">
        <v>2317</v>
      </c>
      <c r="B27" s="279" t="s">
        <v>2318</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2319</v>
      </c>
      <c r="AP27" s="273" t="s">
        <v>2344</v>
      </c>
      <c r="AQ27" s="374"/>
      <c r="AR27" s="269" t="s">
        <v>2315</v>
      </c>
      <c r="AS27" s="269" t="s">
        <v>2431</v>
      </c>
      <c r="AT27" s="270" t="s">
        <v>2360</v>
      </c>
      <c r="AU27" s="500"/>
      <c r="AV27" s="501"/>
      <c r="AX27" s="10" t="s">
        <v>2319</v>
      </c>
      <c r="AY27" s="10" t="s">
        <v>2380</v>
      </c>
      <c r="AZ27" s="359" t="s">
        <v>2387</v>
      </c>
      <c r="BA27" s="526" t="s">
        <v>2462</v>
      </c>
      <c r="BB27" s="84" t="s">
        <v>2388</v>
      </c>
      <c r="BC27" s="360"/>
      <c r="BD27" s="504"/>
    </row>
    <row r="28" spans="1:58" ht="68.25" thickBot="1">
      <c r="A28" s="10" t="s">
        <v>2319</v>
      </c>
      <c r="B28" s="279" t="s">
        <v>2320</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2321</v>
      </c>
      <c r="AP28" s="273" t="s">
        <v>2344</v>
      </c>
      <c r="AQ28" s="374"/>
      <c r="AR28" s="269" t="s">
        <v>2317</v>
      </c>
      <c r="AS28" s="269" t="s">
        <v>2432</v>
      </c>
      <c r="AT28" s="270" t="s">
        <v>2360</v>
      </c>
      <c r="AU28" s="500"/>
      <c r="AV28" s="501"/>
      <c r="AX28" s="10" t="s">
        <v>2321</v>
      </c>
      <c r="AY28" s="10" t="s">
        <v>2381</v>
      </c>
      <c r="AZ28" s="359" t="s">
        <v>2387</v>
      </c>
      <c r="BA28" s="526" t="s">
        <v>2462</v>
      </c>
      <c r="BB28" s="84" t="s">
        <v>2388</v>
      </c>
      <c r="BC28" s="360"/>
      <c r="BD28" s="504"/>
    </row>
    <row r="29" spans="1:58" ht="68.25" thickBot="1">
      <c r="A29" s="617" t="s">
        <v>2321</v>
      </c>
      <c r="B29" s="279" t="s">
        <v>2322</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2323</v>
      </c>
      <c r="AP29" s="273" t="s">
        <v>2344</v>
      </c>
      <c r="AQ29" s="374"/>
      <c r="AR29" s="269" t="s">
        <v>2319</v>
      </c>
      <c r="AS29" s="269" t="s">
        <v>2433</v>
      </c>
      <c r="AT29" s="270" t="s">
        <v>2360</v>
      </c>
      <c r="AU29" s="500"/>
      <c r="AV29" s="500"/>
      <c r="AX29" s="10" t="s">
        <v>2323</v>
      </c>
      <c r="AY29" s="10" t="s">
        <v>2382</v>
      </c>
      <c r="AZ29" s="359" t="s">
        <v>2387</v>
      </c>
      <c r="BA29" s="526" t="s">
        <v>2462</v>
      </c>
      <c r="BB29" s="84" t="s">
        <v>2388</v>
      </c>
      <c r="BC29" s="360"/>
      <c r="BD29" s="504"/>
    </row>
    <row r="30" spans="1:58" ht="68.25" thickBot="1">
      <c r="A30" s="617" t="s">
        <v>2323</v>
      </c>
      <c r="B30" s="279" t="s">
        <v>2324</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2325</v>
      </c>
      <c r="AP30" s="273" t="s">
        <v>2344</v>
      </c>
      <c r="AQ30" s="374"/>
      <c r="AR30" s="269" t="s">
        <v>2321</v>
      </c>
      <c r="AS30" s="269" t="s">
        <v>2434</v>
      </c>
      <c r="AT30" s="270" t="s">
        <v>2359</v>
      </c>
      <c r="AU30" s="500"/>
      <c r="AV30" s="500"/>
      <c r="AX30" s="10" t="s">
        <v>2325</v>
      </c>
      <c r="AY30" s="10" t="s">
        <v>2383</v>
      </c>
      <c r="AZ30" s="359" t="s">
        <v>2387</v>
      </c>
      <c r="BA30" s="526" t="s">
        <v>2462</v>
      </c>
      <c r="BB30" s="84" t="s">
        <v>2388</v>
      </c>
      <c r="BC30" s="360"/>
      <c r="BD30" s="504"/>
    </row>
    <row r="31" spans="1:58" ht="68.25" thickBot="1">
      <c r="A31" s="10" t="s">
        <v>2325</v>
      </c>
      <c r="B31" s="279" t="s">
        <v>2326</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2327</v>
      </c>
      <c r="AP31" s="273" t="s">
        <v>2344</v>
      </c>
      <c r="AQ31" s="374"/>
      <c r="AR31" s="269" t="s">
        <v>2323</v>
      </c>
      <c r="AS31" s="269" t="s">
        <v>2435</v>
      </c>
      <c r="AT31" s="270" t="s">
        <v>2359</v>
      </c>
      <c r="AU31" s="500"/>
      <c r="AV31" s="500"/>
      <c r="AX31" s="10" t="s">
        <v>2327</v>
      </c>
      <c r="AY31" s="10" t="s">
        <v>2384</v>
      </c>
      <c r="AZ31" s="359" t="s">
        <v>2387</v>
      </c>
      <c r="BA31" s="526" t="s">
        <v>2462</v>
      </c>
      <c r="BB31" s="84" t="s">
        <v>2388</v>
      </c>
      <c r="BC31" s="360"/>
      <c r="BD31" s="504"/>
    </row>
    <row r="32" spans="1:58" ht="68.25" thickBot="1">
      <c r="A32" s="10" t="s">
        <v>2327</v>
      </c>
      <c r="B32" s="279" t="s">
        <v>2328</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2354</v>
      </c>
      <c r="AP32" s="273" t="s">
        <v>2344</v>
      </c>
      <c r="AQ32" s="374"/>
      <c r="AR32" s="269" t="s">
        <v>2325</v>
      </c>
      <c r="AS32" s="269" t="s">
        <v>2436</v>
      </c>
      <c r="AT32" s="270" t="s">
        <v>2360</v>
      </c>
      <c r="AU32" s="500"/>
      <c r="AV32" s="500"/>
      <c r="AX32" s="10" t="s">
        <v>2329</v>
      </c>
      <c r="AY32" s="10" t="s">
        <v>2487</v>
      </c>
      <c r="AZ32" s="359" t="s">
        <v>2387</v>
      </c>
      <c r="BA32" s="526" t="s">
        <v>2462</v>
      </c>
      <c r="BB32" s="84" t="s">
        <v>2388</v>
      </c>
      <c r="BC32" s="360"/>
      <c r="BD32" s="504"/>
    </row>
    <row r="33" spans="1:56" ht="69" thickTop="1" thickBot="1">
      <c r="A33" s="617" t="s">
        <v>2329</v>
      </c>
      <c r="B33" s="279" t="s">
        <v>2284</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2330</v>
      </c>
      <c r="AP33" s="273" t="s">
        <v>2344</v>
      </c>
      <c r="AQ33" s="374"/>
      <c r="AR33" s="4" t="s">
        <v>2327</v>
      </c>
      <c r="AS33" s="4" t="s">
        <v>2437</v>
      </c>
      <c r="AT33" s="270" t="s">
        <v>2360</v>
      </c>
      <c r="AU33" s="500"/>
      <c r="AV33" s="501"/>
      <c r="AX33" s="10" t="s">
        <v>2330</v>
      </c>
      <c r="AY33" s="10" t="s">
        <v>2488</v>
      </c>
      <c r="AZ33" s="359" t="s">
        <v>2387</v>
      </c>
      <c r="BA33" s="526" t="s">
        <v>2462</v>
      </c>
      <c r="BB33" s="84" t="s">
        <v>2388</v>
      </c>
      <c r="BC33" s="360"/>
      <c r="BD33" s="504"/>
    </row>
    <row r="34" spans="1:56" ht="68.25" thickBot="1">
      <c r="A34" s="617" t="s">
        <v>2513</v>
      </c>
      <c r="B34" s="279" t="s">
        <v>2292</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2331</v>
      </c>
      <c r="AP34" s="273" t="s">
        <v>2344</v>
      </c>
      <c r="AQ34" s="374"/>
      <c r="AR34" s="269" t="s">
        <v>2354</v>
      </c>
      <c r="AS34" s="269" t="s">
        <v>2493</v>
      </c>
      <c r="AT34" s="270" t="s">
        <v>2359</v>
      </c>
      <c r="AU34" s="500"/>
      <c r="AV34" s="500"/>
      <c r="AX34" s="10" t="s">
        <v>2331</v>
      </c>
      <c r="AY34" s="10" t="s">
        <v>2489</v>
      </c>
      <c r="AZ34" s="359" t="s">
        <v>2387</v>
      </c>
      <c r="BA34" s="526" t="s">
        <v>2462</v>
      </c>
      <c r="BB34" s="84" t="s">
        <v>2388</v>
      </c>
      <c r="BC34" s="360"/>
      <c r="BD34" s="504"/>
    </row>
    <row r="35" spans="1:56" ht="68.25" thickBot="1">
      <c r="A35" s="617" t="s">
        <v>2514</v>
      </c>
      <c r="B35" s="279" t="s">
        <v>2294</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2332</v>
      </c>
      <c r="AP35" s="273" t="s">
        <v>2344</v>
      </c>
      <c r="AQ35" s="374"/>
      <c r="AR35" s="269" t="s">
        <v>2330</v>
      </c>
      <c r="AS35" s="269" t="s">
        <v>2494</v>
      </c>
      <c r="AT35" s="270" t="s">
        <v>2359</v>
      </c>
      <c r="AU35" s="500"/>
      <c r="AV35" s="500"/>
      <c r="AX35" s="10" t="s">
        <v>2332</v>
      </c>
      <c r="AY35" s="10" t="s">
        <v>2490</v>
      </c>
      <c r="AZ35" s="359" t="s">
        <v>2387</v>
      </c>
      <c r="BA35" s="526" t="s">
        <v>2462</v>
      </c>
      <c r="BB35" s="84" t="s">
        <v>2388</v>
      </c>
      <c r="BC35" s="360"/>
      <c r="BD35" s="504"/>
    </row>
    <row r="36" spans="1:56" ht="68.25" thickBot="1">
      <c r="A36" s="617" t="s">
        <v>2515</v>
      </c>
      <c r="B36" s="279" t="s">
        <v>2300</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2333</v>
      </c>
      <c r="AP36" s="273" t="s">
        <v>2344</v>
      </c>
      <c r="AQ36" s="374"/>
      <c r="AR36" s="269" t="s">
        <v>2331</v>
      </c>
      <c r="AS36" s="269" t="s">
        <v>2495</v>
      </c>
      <c r="AT36" s="270" t="s">
        <v>2359</v>
      </c>
      <c r="AU36" s="500"/>
      <c r="AV36" s="500"/>
      <c r="AX36" s="10" t="s">
        <v>2333</v>
      </c>
      <c r="AY36" s="10" t="s">
        <v>2491</v>
      </c>
      <c r="AZ36" s="359" t="s">
        <v>2387</v>
      </c>
      <c r="BA36" s="526" t="s">
        <v>2462</v>
      </c>
      <c r="BB36" s="84" t="s">
        <v>2388</v>
      </c>
      <c r="BC36" s="360"/>
      <c r="BD36" s="504"/>
    </row>
    <row r="37" spans="1:56" ht="68.25" thickBot="1">
      <c r="A37" s="617" t="s">
        <v>2516</v>
      </c>
      <c r="B37" s="279" t="s">
        <v>2304</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2334</v>
      </c>
      <c r="AP37" s="495" t="s">
        <v>2344</v>
      </c>
      <c r="AQ37" s="374"/>
      <c r="AR37" s="4" t="s">
        <v>2332</v>
      </c>
      <c r="AS37" s="4" t="s">
        <v>2496</v>
      </c>
      <c r="AT37" s="270" t="s">
        <v>2359</v>
      </c>
      <c r="AU37" s="500"/>
      <c r="AV37" s="500"/>
      <c r="AX37" s="10" t="s">
        <v>2334</v>
      </c>
      <c r="AY37" s="10" t="s">
        <v>2492</v>
      </c>
      <c r="AZ37" s="359" t="s">
        <v>2387</v>
      </c>
      <c r="BA37" s="526" t="s">
        <v>2462</v>
      </c>
      <c r="BB37" s="84" t="s">
        <v>2388</v>
      </c>
      <c r="BC37" s="360"/>
      <c r="BD37" s="504"/>
    </row>
    <row r="38" spans="1:56" ht="24.75" thickBot="1">
      <c r="A38" s="617" t="s">
        <v>2517</v>
      </c>
      <c r="B38" s="279" t="s">
        <v>2306</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2333</v>
      </c>
      <c r="AS38" s="269" t="s">
        <v>2497</v>
      </c>
      <c r="AT38" s="270" t="s">
        <v>2359</v>
      </c>
      <c r="AU38" s="500"/>
      <c r="AV38" s="501"/>
      <c r="AX38" s="91" t="s">
        <v>2335</v>
      </c>
      <c r="AY38" s="91" t="s">
        <v>2385</v>
      </c>
      <c r="AZ38" s="359" t="s">
        <v>2389</v>
      </c>
      <c r="BA38" s="83" t="s">
        <v>2463</v>
      </c>
      <c r="BB38" s="83" t="s">
        <v>475</v>
      </c>
      <c r="BC38" s="26"/>
      <c r="BD38" s="26"/>
    </row>
    <row r="39" spans="1:56" ht="24.75" thickBot="1">
      <c r="A39" s="91" t="s">
        <v>2335</v>
      </c>
      <c r="B39" s="279" t="s">
        <v>2336</v>
      </c>
      <c r="C39" s="403"/>
      <c r="D39" s="404"/>
      <c r="E39" s="404"/>
      <c r="F39" s="404"/>
      <c r="G39" s="412"/>
      <c r="H39" s="412"/>
      <c r="I39" s="412"/>
      <c r="J39" s="412"/>
      <c r="K39" s="412"/>
      <c r="L39" s="412"/>
      <c r="M39" s="358">
        <v>5.0999999999999997E-2</v>
      </c>
      <c r="N39" s="317" t="s">
        <v>2343</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2334</v>
      </c>
      <c r="AS39" s="269" t="s">
        <v>2498</v>
      </c>
      <c r="AT39" s="270" t="s">
        <v>2359</v>
      </c>
      <c r="AU39" s="500"/>
      <c r="AV39" s="500"/>
      <c r="AX39" s="79" t="s">
        <v>2337</v>
      </c>
      <c r="AY39" s="79" t="s">
        <v>2447</v>
      </c>
      <c r="AZ39" s="359" t="s">
        <v>2389</v>
      </c>
      <c r="BA39" s="83" t="s">
        <v>2463</v>
      </c>
      <c r="BB39" s="83" t="s">
        <v>475</v>
      </c>
      <c r="BC39" s="26"/>
      <c r="BD39" s="26"/>
    </row>
    <row r="40" spans="1:56" ht="24.75" thickBot="1">
      <c r="A40" s="79" t="s">
        <v>2337</v>
      </c>
      <c r="B40" s="278" t="s">
        <v>2338</v>
      </c>
      <c r="C40" s="403"/>
      <c r="D40" s="404"/>
      <c r="E40" s="404"/>
      <c r="F40" s="404"/>
      <c r="G40" s="412"/>
      <c r="H40" s="412"/>
      <c r="I40" s="412"/>
      <c r="J40" s="412"/>
      <c r="K40" s="412"/>
      <c r="L40" s="412"/>
      <c r="M40" s="358">
        <v>5.0999999999999997E-2</v>
      </c>
      <c r="N40" s="317" t="s">
        <v>2343</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2339</v>
      </c>
      <c r="AY40" s="362" t="s">
        <v>2446</v>
      </c>
      <c r="AZ40" s="359" t="s">
        <v>2389</v>
      </c>
      <c r="BA40" s="83" t="s">
        <v>2463</v>
      </c>
      <c r="BB40" s="83" t="s">
        <v>475</v>
      </c>
      <c r="BC40" s="26"/>
      <c r="BD40" s="26"/>
    </row>
    <row r="41" spans="1:56" ht="24.75" thickBot="1">
      <c r="A41" s="362" t="s">
        <v>2339</v>
      </c>
      <c r="B41" s="363" t="s">
        <v>2340</v>
      </c>
      <c r="C41" s="403"/>
      <c r="D41" s="404"/>
      <c r="E41" s="404"/>
      <c r="F41" s="404"/>
      <c r="G41" s="413"/>
      <c r="H41" s="413"/>
      <c r="I41" s="413"/>
      <c r="J41" s="413"/>
      <c r="K41" s="413"/>
      <c r="L41" s="413"/>
      <c r="M41" s="358">
        <v>5.0999999999999997E-2</v>
      </c>
      <c r="N41" s="317" t="s">
        <v>2343</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2341</v>
      </c>
      <c r="AY41" s="401" t="s">
        <v>2386</v>
      </c>
      <c r="AZ41" s="359" t="s">
        <v>2389</v>
      </c>
      <c r="BA41" s="83" t="s">
        <v>2463</v>
      </c>
      <c r="BB41" s="83" t="s">
        <v>475</v>
      </c>
      <c r="BC41" s="26"/>
      <c r="BD41" s="26"/>
    </row>
    <row r="42" spans="1:56" ht="15" thickBot="1">
      <c r="A42" s="401" t="s">
        <v>2341</v>
      </c>
      <c r="B42" s="402" t="s">
        <v>2342</v>
      </c>
      <c r="C42" s="405"/>
      <c r="D42" s="406"/>
      <c r="E42" s="406"/>
      <c r="F42" s="406"/>
      <c r="G42" s="414"/>
      <c r="H42" s="414"/>
      <c r="I42" s="414"/>
      <c r="J42" s="414"/>
      <c r="K42" s="414"/>
      <c r="L42" s="414"/>
      <c r="M42" s="358">
        <v>5.0999999999999997E-2</v>
      </c>
      <c r="N42" s="317" t="s">
        <v>2343</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9"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Myuy6RT1jJnPvIZvjbw8zrbbM3K816fLi6i0h7krRw9Lteyfbap4C5W2FrZ+IDH1S5QJBgtSzguFtWafOvi21w==" saltValue="y/Iv5ohvtsM7BuJQacDBp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www.w3.org/XML/1998/namespace"/>
    <ds:schemaRef ds:uri="http://schemas.microsoft.com/office/2006/metadata/properties"/>
    <ds:schemaRef ds:uri="http://purl.org/dc/elements/1.1/"/>
    <ds:schemaRef ds:uri="http://purl.org/dc/dcmityp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3b7b391f-316a-4bc7-a585-b2bcaf106fa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2026-07-30T10:38:58Z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