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340" windowWidth="19230" windowHeight="5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F23" i="11"/>
  <c r="AA23" i="11"/>
  <c r="V23" i="11"/>
  <c r="Q23" i="11"/>
  <c r="AA33" i="11" l="1"/>
  <c r="Q33" i="11"/>
  <c r="AK32" i="11"/>
  <c r="AK31" i="11" l="1"/>
  <c r="AK30" i="11"/>
  <c r="AK29" i="11"/>
  <c r="AU72" i="11" l="1"/>
  <c r="AP72" i="11"/>
  <c r="AU70" i="11"/>
  <c r="AP70" i="11"/>
  <c r="V72" i="11"/>
  <c r="Q72" i="11"/>
  <c r="AK72" i="11"/>
  <c r="AK71" i="11"/>
  <c r="V71" i="11"/>
  <c r="Q71" i="11"/>
  <c r="AK70" i="11"/>
  <c r="V70" i="11"/>
  <c r="Q70" i="11"/>
  <c r="V75" i="11"/>
  <c r="Q75" i="11"/>
  <c r="AK76" i="11"/>
  <c r="V76" i="11"/>
  <c r="Q76" i="11"/>
  <c r="V74" i="11"/>
  <c r="Q74" i="11"/>
  <c r="AA73" i="11"/>
  <c r="V73" i="11"/>
  <c r="Q73" i="11"/>
  <c r="AU69" i="11"/>
  <c r="AK69" i="11"/>
  <c r="AA69" i="11"/>
  <c r="V69" i="11"/>
  <c r="Q69" i="11"/>
  <c r="AU68" i="11"/>
  <c r="AP68" i="11" l="1"/>
  <c r="AK68" i="11"/>
  <c r="AF68" i="11"/>
  <c r="V68" i="11"/>
  <c r="Q68" i="11"/>
  <c r="AK7" i="11"/>
  <c r="CW9" i="11"/>
  <c r="DG8" i="11" l="1"/>
  <c r="CR8" i="11"/>
  <c r="CM8" i="11"/>
  <c r="CH8" i="11"/>
  <c r="CR7" i="11"/>
  <c r="CM7" i="11"/>
  <c r="CH7" i="11"/>
  <c r="AU34" i="11"/>
  <c r="AP34" i="11"/>
  <c r="AF34" i="11"/>
  <c r="V34" i="11"/>
  <c r="Q34" i="11"/>
  <c r="AU33" i="11"/>
  <c r="AP33" i="11"/>
  <c r="AK34" i="11"/>
  <c r="AK33" i="11"/>
  <c r="V33" i="11"/>
  <c r="AU32" i="11"/>
  <c r="AP32" i="11"/>
  <c r="AF32" i="11"/>
  <c r="V32" i="11"/>
  <c r="Q32" i="11"/>
  <c r="AK28" i="11" l="1"/>
  <c r="AU29" i="11"/>
  <c r="AU31" i="11"/>
  <c r="AP31" i="11"/>
  <c r="AA31" i="11"/>
  <c r="V31" i="11"/>
  <c r="Q31" i="11"/>
  <c r="AF30" i="11" l="1"/>
  <c r="V30" i="11"/>
  <c r="Q30" i="11"/>
  <c r="AP29" i="11"/>
  <c r="AF29" i="11"/>
  <c r="V29" i="11"/>
  <c r="Q29" i="11"/>
  <c r="AF28" i="11"/>
  <c r="AA28" i="11"/>
  <c r="V28" i="11"/>
  <c r="Q28" i="11"/>
  <c r="DQ102" i="11" l="1"/>
  <c r="DL102" i="11"/>
  <c r="DG102" i="11"/>
  <c r="DB102" i="11"/>
  <c r="CW102" i="11"/>
  <c r="CR102" i="11"/>
  <c r="AF63" i="11"/>
  <c r="AU63" i="11"/>
  <c r="AP63" i="11"/>
  <c r="AU88" i="11"/>
  <c r="AP88" i="11"/>
  <c r="AA76" i="11"/>
  <c r="AF76" i="11" s="1"/>
  <c r="AA75" i="11"/>
  <c r="AF75" i="11" s="1"/>
  <c r="AA74" i="11"/>
  <c r="AF74" i="11" s="1"/>
  <c r="AF73" i="11"/>
  <c r="AA72" i="11"/>
  <c r="AF72" i="11" s="1"/>
  <c r="AA71" i="11"/>
  <c r="AF71" i="11" s="1"/>
  <c r="AA70" i="11"/>
  <c r="AF70" i="11" s="1"/>
  <c r="AF69" i="11"/>
  <c r="AA68" i="11"/>
  <c r="AA34" i="11"/>
  <c r="AF33" i="11"/>
  <c r="AA32" i="11"/>
  <c r="AA30" i="11"/>
  <c r="AA29" i="11"/>
  <c r="AF88" i="11" l="1"/>
  <c r="AP7" i="11"/>
  <c r="AF7" i="11"/>
  <c r="V7" i="11"/>
  <c r="Q7" i="11"/>
  <c r="AA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CO35" i="9"/>
  <c r="CO36" i="9" s="1"/>
  <c r="AM35" i="9"/>
  <c r="C35" i="9"/>
  <c r="CO34" i="9"/>
  <c r="BW34" i="9"/>
  <c r="BW35" i="9" s="1"/>
  <c r="BW36" i="9" s="1"/>
  <c r="BW37" i="9" s="1"/>
  <c r="BW38" i="9" s="1"/>
  <c r="BW39" i="9" s="1"/>
  <c r="BW40" i="9" s="1"/>
  <c r="BW41" i="9" s="1"/>
  <c r="BW42" i="9" s="1"/>
  <c r="C34" i="9"/>
  <c r="U34" i="9" s="1"/>
  <c r="U35" i="9" s="1"/>
  <c r="U36" i="9" s="1"/>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<sst xmlns="http://schemas.openxmlformats.org/spreadsheetml/2006/main" count="1005" uniqueCount="556">
  <si>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</si>
  <si>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</si>
  <si>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</si>
  <si>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</si>
  <si>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</si>
  <si>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</si>
  <si>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</si>
  <si>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</si>
  <si>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</si>
  <si>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</si>
  <si>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</si>
  <si>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</si>
  <si>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</si>
  <si>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</si>
  <si>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</si>
  <si>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</si>
  <si>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</si>
  <si>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</si>
  <si>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</si>
  <si>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</si>
  <si>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</si>
  <si>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</si>
  <si>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</si>
  <si>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</si>
  <si>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</si>
  <si>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</si>
  <si>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</si>
  <si>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</si>
  <si>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</si>
  <si>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</si>
  <si>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</si>
  <si>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</si>
  <si>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</si>
  <si>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</si>
  <si>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</si>
  <si>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</si>
  <si>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</si>
  <si>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</si>
  <si>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</si>
  <si>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</si>
  <si>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</si>
  <si>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</si>
  <si>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</si>
  <si>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</si>
  <si>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</si>
  <si>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</si>
  <si>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</si>
  <si>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</si>
  <si>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</si>
  <si>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</si>
  <si>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</si>
  <si>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</si>
  <si>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</si>
  <si>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</si>
  <si>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</si>
  <si>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</si>
  <si>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</si>
  <si>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</si>
  <si>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</si>
  <si>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</si>
  <si>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</si>
  <si>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</si>
  <si>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</si>
  <si>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</si>
  <si>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</si>
  <si>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</si>
  <si>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</si>
  <si>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</si>
  <si>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</si>
  <si>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</si>
  <si>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</si>
  <si>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</si>
  <si>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</si>
  <si>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</si>
  <si>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</si>
  <si>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</si>
  <si>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</si>
  <si>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</si>
  <si>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</si>
  <si>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</si>
  <si>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</si>
  <si>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</si>
  <si>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</si>
  <si>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</si>
  <si>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</si>
  <si>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</si>
  <si>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</si>
  <si>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</si>
  <si>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</si>
  <si>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</si>
  <si>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</si>
  <si>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</si>
  <si>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</si>
  <si>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</si>
  <si>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</si>
  <si>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</si>
  <si>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</si>
  <si>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</si>
  <si>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</si>
  <si>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</si>
  <si>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</si>
  <si>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</si>
  <si>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</si>
  <si>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</si>
  <si>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</si>
  <si>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</si>
  <si>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</si>
  <si>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</si>
  <si>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</si>
  <si>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</si>
  <si>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</si>
  <si>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</si>
  <si>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</si>
  <si>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</si>
  <si>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</si>
  <si>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</si>
  <si>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</si>
  <si>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</si>
  <si>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</si>
  <si>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</si>
  <si>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</si>
  <si>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</si>
  <si>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</si>
  <si>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</si>
  <si>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</si>
  <si>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</si>
  <si>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</si>
  <si>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</si>
  <si>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</si>
  <si>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</si>
  <si>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</si>
  <si>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</si>
  <si>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</si>
  <si>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</si>
  <si>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</si>
  <si>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</si>
  <si>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</si>
  <si>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</si>
  <si>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</si>
  <si>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</si>
  <si>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</si>
  <si>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</si>
  <si>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</si>
  <si>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</si>
  <si>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</si>
  <si>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</si>
  <si>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</si>
  <si>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</si>
  <si>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</si>
  <si>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</si>
  <si>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</si>
  <si>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</si>
  <si>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</si>
  <si>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</si>
  <si>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</si>
  <si>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</si>
  <si>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</si>
  <si>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</si>
  <si>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</si>
  <si>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</si>
  <si>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</si>
  <si>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</si>
  <si>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</si>
  <si>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</si>
  <si>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</si>
  <si>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</si>
  <si>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</si>
  <si>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</si>
  <si>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</si>
  <si>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</si>
  <si>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</si>
  <si>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</si>
  <si>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</si>
  <si>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</si>
  <si>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</si>
  <si>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</si>
  <si>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</si>
  <si>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</si>
  <si>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</si>
  <si>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</si>
  <si>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</si>
  <si>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</si>
  <si>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</si>
  <si>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</si>
  <si>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</si>
  <si>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</si>
  <si>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</si>
  <si>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</si>
  <si>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</si>
  <si>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</si>
  <si>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</si>
  <si>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</si>
  <si>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</si>
  <si>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</si>
  <si>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</si>
  <si>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</si>
  <si>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岐阜県本巣市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</si>
  <si>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</si>
  <si>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</si>
  <si>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</si>
  <si>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</si>
  <si>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</si>
  <si>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</si>
  <si>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</si>
  <si>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</si>
  <si>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</si>
  <si>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</si>
  <si>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</si>
  <si>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</si>
  <si>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</si>
  <si>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</si>
  <si>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</si>
  <si>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</si>
  <si>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</si>
  <si>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</si>
  <si>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</si>
  <si>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</si>
  <si>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</si>
  <si>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</si>
  <si>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</si>
  <si>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</si>
  <si>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</si>
  <si>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</si>
  <si>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</si>
  <si>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</si>
  <si>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</si>
  <si>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</si>
  <si>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</si>
  <si>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</si>
  <si>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</si>
  <si>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</si>
  <si>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</si>
  <si>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</si>
  <si>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</si>
  <si>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</si>
  <si>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</si>
  <si>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</si>
  <si>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</si>
  <si>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</si>
  <si>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</si>
  <si>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</si>
  <si>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</si>
  <si>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</si>
  <si>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</si>
  <si>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</si>
  <si>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</si>
  <si>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</si>
  <si>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</si>
  <si>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</si>
  <si>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</si>
  <si>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</si>
  <si>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</si>
  <si>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</si>
  <si>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</si>
  <si>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</si>
  <si>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</si>
  <si>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</si>
  <si>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</si>
  <si>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</si>
  <si>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</si>
  <si>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</si>
  <si>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</si>
  <si>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</si>
  <si>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</si>
  <si>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</si>
  <si>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</si>
  <si>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</si>
  <si>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</si>
  <si>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</si>
  <si>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</si>
  <si>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</si>
  <si>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</si>
  <si>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</si>
  <si>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</si>
  <si>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</si>
  <si>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</si>
  <si>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</si>
  <si>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</si>
  <si>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</si>
  <si>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</si>
  <si>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</si>
  <si>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</si>
  <si>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</si>
  <si>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</si>
  <si>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</si>
  <si>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</si>
  <si>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</si>
  <si>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</si>
  <si>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</si>
  <si>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</si>
  <si>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</si>
  <si>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</si>
  <si>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</si>
  <si>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</si>
  <si>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</si>
  <si>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</si>
  <si>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</si>
  <si>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</si>
  <si>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</si>
  <si>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</si>
  <si>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</si>
  <si>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</si>
  <si>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</si>
  <si>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</si>
  <si>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</si>
  <si>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</si>
  <si>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</si>
  <si>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</si>
  <si>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</si>
  <si>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</si>
  <si>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</si>
  <si>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</si>
  <si>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</si>
  <si>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</si>
  <si>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</si>
  <si>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</si>
  <si>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</si>
  <si>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</si>
  <si>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</si>
  <si>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</si>
  <si>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</si>
  <si>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</si>
  <si>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</si>
  <si>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</si>
  <si>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</si>
  <si>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</si>
  <si>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</si>
  <si>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</si>
  <si>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</si>
  <si>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</si>
  <si>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</si>
  <si>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</si>
  <si>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</si>
  <si>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</si>
  <si>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</si>
  <si>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</si>
  <si>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</si>
  <si>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</si>
  <si>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</si>
  <si>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</si>
  <si>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</si>
  <si>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</si>
  <si>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</si>
  <si>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</si>
  <si>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</si>
  <si>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</si>
  <si>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岐阜県本巣市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</si>
  <si>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</si>
  <si>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</si>
  <si>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</si>
  <si>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</si>
  <si>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</si>
  <si>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</si>
  <si>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</si>
  <si>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</si>
  <si>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</si>
  <si>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</si>
  <si>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</si>
  <si>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</si>
  <si>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</si>
  <si>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</si>
  <si>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</si>
  <si>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</si>
  <si>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</si>
  <si>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</si>
  <si>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</si>
  <si>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</si>
  <si>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</si>
  <si>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</si>
  <si>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</si>
  <si>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</si>
  <si>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</si>
  <si>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</si>
  <si>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</si>
  <si>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</si>
  <si>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</si>
  <si>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</si>
  <si>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</si>
  <si>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</si>
  <si>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</si>
  <si>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</si>
  <si>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</si>
  <si>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</si>
  <si>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</si>
  <si>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</si>
  <si>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</si>
  <si>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農業集落排水事業特別会計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</si>
  <si>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</si>
  <si>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</si>
  <si>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</si>
  <si>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</si>
  <si>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</si>
  <si>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</si>
  <si>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</si>
  <si>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</si>
  <si>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</si>
  <si>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</si>
  <si>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</si>
  <si>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</si>
  <si>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</si>
  <si>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</si>
  <si>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</si>
  <si>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</si>
  <si>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</si>
  <si>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</si>
  <si>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</si>
  <si>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</si>
  <si>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</si>
  <si>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</si>
  <si>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</si>
  <si>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</si>
  <si>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</si>
  <si>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</si>
  <si>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</si>
  <si>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</si>
  <si>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</si>
  <si>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</si>
  <si>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</si>
  <si>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</si>
  <si>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</si>
  <si>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</si>
  <si>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</si>
  <si>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</si>
  <si>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</si>
  <si>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</si>
  <si>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</si>
  <si>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</si>
  <si>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</si>
  <si>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</si>
  <si>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</si>
  <si>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</si>
  <si>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</si>
  <si>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</si>
  <si>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</si>
  <si>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</si>
  <si>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</si>
  <si>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</si>
  <si>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</si>
  <si>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</si>
  <si>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</si>
  <si>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</si>
  <si>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</si>
  <si>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</si>
  <si>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</si>
  <si>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</si>
  <si>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</si>
  <si>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</si>
  <si>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</si>
  <si>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</si>
  <si>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</si>
  <si>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</si>
  <si>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</si>
  <si>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</si>
  <si>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</si>
  <si>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</si>
  <si>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</si>
  <si>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</si>
  <si>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</si>
  <si>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</si>
  <si>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</si>
  <si>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</si>
  <si>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</si>
  <si>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</si>
  <si>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</si>
  <si>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</si>
  <si>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</si>
  <si>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</si>
  <si>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</si>
  <si>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</si>
  <si>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</si>
  <si>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</si>
  <si>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</si>
  <si>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</si>
  <si>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</si>
  <si>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</si>
  <si>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</si>
  <si>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</si>
  <si>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</si>
  <si>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</si>
  <si>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</si>
  <si>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</si>
  <si>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</si>
  <si>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</si>
  <si>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</si>
  <si>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</si>
  <si>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</si>
  <si>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</si>
  <si>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</si>
  <si>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</si>
  <si>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</si>
  <si>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</si>
  <si>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</si>
  <si>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</si>
  <si>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</si>
  <si>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</si>
  <si>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</si>
  <si>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</si>
  <si>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</si>
  <si>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</si>
  <si>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</si>
  <si>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</si>
  <si>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</si>
  <si>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</si>
  <si>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</si>
  <si>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</si>
  <si>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</si>
  <si>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</si>
  <si>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</si>
  <si>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</si>
  <si>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</si>
  <si>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</si>
  <si>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</si>
  <si>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</si>
  <si>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</si>
  <si>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</si>
  <si>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</si>
  <si>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</si>
  <si>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</si>
  <si>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</si>
  <si>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</si>
  <si>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2.58</t>
  </si>
  <si>
    <t>▲ 0.77</t>
  </si>
  <si>
    <t>▲ 1.68</t>
  </si>
  <si>
    <t>一般会計</t>
  </si>
  <si>
    <t>水道事業会計</t>
  </si>
  <si>
    <t>国民健康保険特別会計（事業勘定）</t>
  </si>
  <si>
    <t>国民健康保険特別会計（施設勘定）</t>
  </si>
  <si>
    <t>農業集落排水事業特別会計</t>
  </si>
  <si>
    <t>公共下水道特別会計</t>
  </si>
  <si>
    <t>簡易水道特別会計</t>
  </si>
  <si>
    <t>後期高齢者医療特別会計</t>
  </si>
  <si>
    <t>その他会計（赤字）</t>
  </si>
  <si>
    <t>その他会計（黒字）</t>
  </si>
  <si>
    <t>一般会計</t>
    <phoneticPr fontId="5"/>
  </si>
  <si>
    <t>西濃環境整備組合</t>
    <rPh sb="0" eb="2">
      <t>セイノウ</t>
    </rPh>
    <rPh sb="2" eb="4">
      <t>カンキョウ</t>
    </rPh>
    <rPh sb="4" eb="6">
      <t>セイビ</t>
    </rPh>
    <rPh sb="6" eb="8">
      <t>クミアイ</t>
    </rPh>
    <phoneticPr fontId="5"/>
  </si>
  <si>
    <t>本巣消防事務組合</t>
    <rPh sb="0" eb="2">
      <t>モトス</t>
    </rPh>
    <rPh sb="2" eb="4">
      <t>ショウボウ</t>
    </rPh>
    <rPh sb="4" eb="6">
      <t>ジム</t>
    </rPh>
    <rPh sb="6" eb="8">
      <t>クミアイ</t>
    </rPh>
    <phoneticPr fontId="5"/>
  </si>
  <si>
    <t>-</t>
    <phoneticPr fontId="5"/>
  </si>
  <si>
    <t>もとす広域連合（一般会計）</t>
    <rPh sb="3" eb="5">
      <t>コウイキ</t>
    </rPh>
    <rPh sb="5" eb="7">
      <t>レンゴウ</t>
    </rPh>
    <rPh sb="8" eb="10">
      <t>イッパン</t>
    </rPh>
    <rPh sb="10" eb="12">
      <t>カイケイ</t>
    </rPh>
    <rPh sb="12" eb="13">
      <t>ヨウブン</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</si>
  <si>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</si>
  <si>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</si>
  <si>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岐阜県市町村会館組合</t>
    <rPh sb="0" eb="3">
      <t>ギフケン</t>
    </rPh>
    <rPh sb="3" eb="6">
      <t>シチョウソン</t>
    </rPh>
    <rPh sb="6" eb="8">
      <t>カイカン</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</si>
  <si>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</si>
  <si>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岐阜県後期高齢者医療広域連合</t>
    <rPh sb="0" eb="3">
      <t>ギフケン</t>
    </rPh>
    <rPh sb="3" eb="5">
      <t>コウキ</t>
    </rPh>
    <rPh sb="5" eb="8">
      <t>コウレイシャ</t>
    </rPh>
    <rPh sb="8" eb="10">
      <t>イリョウ</t>
    </rPh>
    <rPh sb="10" eb="12">
      <t>コウイキ</t>
    </rPh>
    <rPh sb="12" eb="14">
      <t>レンゴウ</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</si>
  <si>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</si>
  <si>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もとす振興公社
（旧　織部の里もとす）</t>
    <rPh sb="3" eb="5">
      <t>シンコウ</t>
    </rPh>
    <rPh sb="5" eb="7">
      <t>コウシャ</t>
    </rPh>
    <rPh sb="9" eb="10">
      <t>キュウ</t>
    </rPh>
    <rPh sb="11" eb="13">
      <t>オリベ</t>
    </rPh>
    <rPh sb="14" eb="15">
      <t>サト</t>
    </rPh>
    <phoneticPr fontId="5"/>
  </si>
  <si>
    <t>本巣市土地開発公社</t>
    <rPh sb="0" eb="2">
      <t>モトス</t>
    </rPh>
    <rPh sb="2" eb="3">
      <t>シ</t>
    </rPh>
    <rPh sb="3" eb="5">
      <t>トチ</t>
    </rPh>
    <rPh sb="5" eb="7">
      <t>カイハツ</t>
    </rPh>
    <rPh sb="7" eb="9">
      <t>コウシャ</t>
    </rPh>
    <phoneticPr fontId="5"/>
  </si>
  <si>
    <t>○</t>
    <phoneticPr fontId="5"/>
  </si>
  <si>
    <t>基金から
9百万円繰入</t>
    <rPh sb="0" eb="2">
      <t>キキン</t>
    </rPh>
    <rPh sb="6" eb="9">
      <t>ヒャクマンエン</t>
    </rPh>
    <rPh sb="9" eb="11">
      <t>クリイレ</t>
    </rPh>
    <phoneticPr fontId="5"/>
  </si>
  <si>
    <t>樽見鉄道</t>
    <rPh sb="0" eb="2">
      <t>タルミ</t>
    </rPh>
    <rPh sb="2" eb="4">
      <t>テツドウ</t>
    </rPh>
    <phoneticPr fontId="5"/>
  </si>
  <si>
    <t>基金から
820百万円
繰入</t>
    <rPh sb="0" eb="2">
      <t>キキン</t>
    </rPh>
    <rPh sb="8" eb="11">
      <t>ヒャクマンエン</t>
    </rPh>
    <rPh sb="12" eb="14">
      <t>クリイレ</t>
    </rPh>
    <phoneticPr fontId="5"/>
  </si>
  <si>
    <t>基金から160百万円繰入</t>
    <rPh sb="0" eb="2">
      <t>キキン</t>
    </rPh>
    <rPh sb="7" eb="10">
      <t>ヒャクマンエン</t>
    </rPh>
    <rPh sb="10" eb="12">
      <t>クリイレ</t>
    </rPh>
    <phoneticPr fontId="5"/>
  </si>
  <si>
    <t>基金から2百万円繰入</t>
    <rPh sb="0" eb="2">
      <t>キキン</t>
    </rPh>
    <rPh sb="5" eb="8">
      <t>ヒャクマンエン</t>
    </rPh>
    <rPh sb="8" eb="10">
      <t>クリイレ</t>
    </rPh>
    <phoneticPr fontId="5"/>
  </si>
  <si>
    <t>基金から1660百万円繰入</t>
    <rPh sb="0" eb="2">
      <t>キキン</t>
    </rPh>
    <rPh sb="8" eb="11">
      <t>ヒャクマンエン</t>
    </rPh>
    <rPh sb="11" eb="13">
      <t>クリイレ</t>
    </rPh>
    <phoneticPr fontId="5"/>
  </si>
  <si>
    <t>基金から85百万円繰入</t>
    <rPh sb="0" eb="2">
      <t>キキン</t>
    </rPh>
    <rPh sb="6" eb="9">
      <t>ヒャクマンエン</t>
    </rPh>
    <rPh sb="9" eb="11">
      <t>クリイレ</t>
    </rPh>
    <phoneticPr fontId="5"/>
  </si>
  <si>
    <t>基金から97百万円繰入</t>
    <rPh sb="0" eb="2">
      <t>キキン</t>
    </rPh>
    <rPh sb="6" eb="9">
      <t>ヒャクマンエン</t>
    </rPh>
    <rPh sb="9" eb="11">
      <t>クリイレ</t>
    </rPh>
    <phoneticPr fontId="5"/>
  </si>
  <si>
    <t>基金から70百万円繰入</t>
    <rPh sb="0" eb="2">
      <t>キキン</t>
    </rPh>
    <rPh sb="6" eb="9">
      <t>ヒャクマンエン</t>
    </rPh>
    <rPh sb="9" eb="11">
      <t>クリイレ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</si>
</sst>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49297</c:v>
                </c:pt>
                <c:pt idx="1">
                  <c:v>66777</c:v>
                </c:pt>
                <c:pt idx="2">
                  <c:v>89965</c:v>
                </c:pt>
                <c:pt idx="3">
                  <c:v>100772</c:v>
                </c:pt>
                <c:pt idx="4">
                  <c:v>96237</c:v>
                </c:pt>
              </c:numCache>
            </c:numRef>
          </c:val>
          <c:smooth val="0"/>
        </c:ser>
        <c:dLbls>
          <c:showLegendKey val="0"/>
          <c:showVal val="0"/>
          <c:showCatName val="0"/>
          <c:showSerName val="0"/>
          <c:showPercent val="0"/>
          <c:showBubbleSize val="0"/>
        </c:dLbls>
        <c:marker val="1"/>
        <c:smooth val="0"/>
        <c:axId val="71960832"/>
        <c:axId val="71967104"/>
      </c:lineChart>
      <c:catAx>
        <c:axId val="71960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67104"/>
        <c:crosses val="autoZero"/>
        <c:auto val="1"/>
        <c:lblAlgn val="ctr"/>
        <c:lblOffset val="100"/>
        <c:tickLblSkip val="1"/>
        <c:tickMarkSkip val="1"/>
        <c:noMultiLvlLbl val="0"/>
      </c:catAx>
      <c:valAx>
        <c:axId val="71967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6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c:v>
                </c:pt>
                <c:pt idx="1">
                  <c:v>8.75</c:v>
                </c:pt>
                <c:pt idx="2">
                  <c:v>5.81</c:v>
                </c:pt>
                <c:pt idx="3">
                  <c:v>4.87</c:v>
                </c:pt>
                <c:pt idx="4">
                  <c:v>7.68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50.31</c:v>
                </c:pt>
                <c:pt idx="1">
                  <c:v>49.57</c:v>
                </c:pt>
                <c:pt idx="2">
                  <c:v>48.73</c:v>
                </c:pt>
                <c:pt idx="3">
                  <c:v>48.15</c:v>
                </c:pt>
                <c:pt idx="4">
                  <c:v>45.32</c:v>
                </c:pt>
              </c:numCache>
            </c:numRef>
          </c:val>
        </c:ser>
        <c:dLbls>
          <c:showLegendKey val="0"/>
          <c:showVal val="0"/>
          <c:showCatName val="0"/>
          <c:showSerName val="0"/>
          <c:showPercent val="0"/>
          <c:showBubbleSize val="0"/>
        </c:dLbls>
        <c:gapWidth val="250"/>
        <c:overlap val="100"/>
        <c:axId val="95573888"/>
        <c:axId val="9558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9.09</c:v>
                </c:pt>
                <c:pt idx="1">
                  <c:v>0.95</c:v>
                </c:pt>
                <c:pt idx="2">
                  <c:v>-2.58</c:v>
                </c:pt>
                <c:pt idx="3">
                  <c:v>-0.77</c:v>
                </c:pt>
                <c:pt idx="4">
                  <c:v>-1.68</c:v>
                </c:pt>
              </c:numCache>
            </c:numRef>
          </c:val>
          <c:smooth val="0"/>
        </c:ser>
        <c:dLbls>
          <c:showLegendKey val="0"/>
          <c:showVal val="0"/>
          <c:showCatName val="0"/>
          <c:showSerName val="0"/>
          <c:showPercent val="0"/>
          <c:showBubbleSize val="0"/>
        </c:dLbls>
        <c:marker val="1"/>
        <c:smooth val="0"/>
        <c:axId val="95573888"/>
        <c:axId val="95588352"/>
      </c:lineChart>
      <c:catAx>
        <c:axId val="955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588352"/>
        <c:crosses val="autoZero"/>
        <c:auto val="1"/>
        <c:lblAlgn val="ctr"/>
        <c:lblOffset val="100"/>
        <c:tickLblSkip val="1"/>
        <c:tickMarkSkip val="1"/>
        <c:noMultiLvlLbl val="0"/>
      </c:catAx>
      <c:valAx>
        <c:axId val="955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0.02</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0.51</c:v>
                </c:pt>
                <c:pt idx="2">
                  <c:v>#N/A</c:v>
                </c:pt>
                <c:pt idx="3">
                  <c:v>0.21</c:v>
                </c:pt>
                <c:pt idx="4">
                  <c:v>#N/A</c:v>
                </c:pt>
                <c:pt idx="5">
                  <c:v>0.16</c:v>
                </c:pt>
                <c:pt idx="6">
                  <c:v>#N/A</c:v>
                </c:pt>
                <c:pt idx="7">
                  <c:v>0.27</c:v>
                </c:pt>
                <c:pt idx="8">
                  <c:v>#N/A</c:v>
                </c:pt>
                <c:pt idx="9">
                  <c:v>0.1</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0.15</c:v>
                </c:pt>
                <c:pt idx="4">
                  <c:v>#N/A</c:v>
                </c:pt>
                <c:pt idx="5">
                  <c:v>0.3</c:v>
                </c:pt>
                <c:pt idx="6">
                  <c:v>#N/A</c:v>
                </c:pt>
                <c:pt idx="7">
                  <c:v>0.18</c:v>
                </c:pt>
                <c:pt idx="8">
                  <c:v>#N/A</c:v>
                </c:pt>
                <c:pt idx="9">
                  <c:v>0.13</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0.45</c:v>
                </c:pt>
                <c:pt idx="2">
                  <c:v>#N/A</c:v>
                </c:pt>
                <c:pt idx="3">
                  <c:v>0.63</c:v>
                </c:pt>
                <c:pt idx="4">
                  <c:v>#N/A</c:v>
                </c:pt>
                <c:pt idx="5">
                  <c:v>0.2</c:v>
                </c:pt>
                <c:pt idx="6">
                  <c:v>#N/A</c:v>
                </c:pt>
                <c:pt idx="7">
                  <c:v>0.12</c:v>
                </c:pt>
                <c:pt idx="8">
                  <c:v>#N/A</c:v>
                </c:pt>
                <c:pt idx="9">
                  <c:v>0.14000000000000001</c:v>
                </c:pt>
              </c:numCache>
            </c:numRef>
          </c:val>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0.13</c:v>
                </c:pt>
                <c:pt idx="4">
                  <c:v>#N/A</c:v>
                </c:pt>
                <c:pt idx="5">
                  <c:v>0.12</c:v>
                </c:pt>
                <c:pt idx="6">
                  <c:v>#N/A</c:v>
                </c:pt>
                <c:pt idx="7">
                  <c:v>0.14000000000000001</c:v>
                </c:pt>
                <c:pt idx="8">
                  <c:v>#N/A</c:v>
                </c:pt>
                <c:pt idx="9">
                  <c:v>0.16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3.24</c:v>
                </c:pt>
                <c:pt idx="2">
                  <c:v>#N/A</c:v>
                </c:pt>
                <c:pt idx="3">
                  <c:v>3.85</c:v>
                </c:pt>
                <c:pt idx="4">
                  <c:v>#N/A</c:v>
                </c:pt>
                <c:pt idx="5">
                  <c:v>3.54</c:v>
                </c:pt>
                <c:pt idx="6">
                  <c:v>#N/A</c:v>
                </c:pt>
                <c:pt idx="7">
                  <c:v>2.36</c:v>
                </c:pt>
                <c:pt idx="8">
                  <c:v>#N/A</c:v>
                </c:pt>
                <c:pt idx="9">
                  <c:v>1.76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c:v>
                </c:pt>
                <c:pt idx="2">
                  <c:v>#N/A</c:v>
                </c:pt>
                <c:pt idx="3">
                  <c:v>4.63</c:v>
                </c:pt>
                <c:pt idx="4">
                  <c:v>#N/A</c:v>
                </c:pt>
                <c:pt idx="5">
                  <c:v>4.91</c:v>
                </c:pt>
                <c:pt idx="6">
                  <c:v>#N/A</c:v>
                </c:pt>
                <c:pt idx="7">
                  <c:v>5.5</c:v>
                </c:pt>
                <c:pt idx="8">
                  <c:v>#N/A</c:v>
                </c:pt>
                <c:pt idx="9">
                  <c:v>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7.69</c:v>
                </c:pt>
                <c:pt idx="2">
                  <c:v>#N/A</c:v>
                </c:pt>
                <c:pt idx="3">
                  <c:v>8.74</c:v>
                </c:pt>
                <c:pt idx="4">
                  <c:v>#N/A</c:v>
                </c:pt>
                <c:pt idx="5">
                  <c:v>5.8</c:v>
                </c:pt>
                <c:pt idx="6">
                  <c:v>#N/A</c:v>
                </c:pt>
                <c:pt idx="7">
                  <c:v>4.8600000000000003</c:v>
                </c:pt>
                <c:pt idx="8">
                  <c:v>#N/A</c:v>
                </c:pt>
                <c:pt idx="9">
                  <c:v>7.67</c:v>
                </c:pt>
              </c:numCache>
            </c:numRef>
          </c:val>
        </c:ser>
        <c:dLbls>
          <c:showLegendKey val="0"/>
          <c:showVal val="0"/>
          <c:showCatName val="0"/>
          <c:showSerName val="0"/>
          <c:showPercent val="0"/>
          <c:showBubbleSize val="0"/>
        </c:dLbls>
        <c:gapWidth val="150"/>
        <c:overlap val="100"/>
        <c:axId val="95330304"/>
        <c:axId val="95331840"/>
      </c:barChart>
      <c:catAx>
        <c:axId val="953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31840"/>
        <c:crosses val="autoZero"/>
        <c:auto val="1"/>
        <c:lblAlgn val="ctr"/>
        <c:lblOffset val="100"/>
        <c:tickLblSkip val="1"/>
        <c:tickMarkSkip val="1"/>
        <c:noMultiLvlLbl val="0"/>
      </c:catAx>
      <c:valAx>
        <c:axId val="953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1254</c:v>
                </c:pt>
                <c:pt idx="5">
                  <c:v>1347</c:v>
                </c:pt>
                <c:pt idx="8">
                  <c:v>1372</c:v>
                </c:pt>
                <c:pt idx="11">
                  <c:v>1419</c:v>
                </c:pt>
                <c:pt idx="14">
                  <c:v>1518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c:v>
                </c:pt>
                <c:pt idx="3">
                  <c:v>13</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99</c:v>
                </c:pt>
                <c:pt idx="3">
                  <c:v>85</c:v>
                </c:pt>
                <c:pt idx="6">
                  <c:v>66</c:v>
                </c:pt>
                <c:pt idx="9">
                  <c:v>64</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557</c:v>
                </c:pt>
                <c:pt idx="3">
                  <c:v>568</c:v>
                </c:pt>
                <c:pt idx="6">
                  <c:v>628</c:v>
                </c:pt>
                <c:pt idx="9">
                  <c:v>703</c:v>
                </c:pt>
                <c:pt idx="12">
                  <c:v>711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1075</c:v>
                </c:pt>
                <c:pt idx="3">
                  <c:v>1082</c:v>
                </c:pt>
                <c:pt idx="6">
                  <c:v>1070</c:v>
                </c:pt>
                <c:pt idx="9">
                  <c:v>1048</c:v>
                </c:pt>
                <c:pt idx="12">
                  <c:v>1071</c:v>
                </c:pt>
              </c:numCache>
            </c:numRef>
          </c:val>
        </c:ser>
        <c:dLbls>
          <c:showLegendKey val="0"/>
          <c:showVal val="0"/>
          <c:showCatName val="0"/>
          <c:showSerName val="0"/>
          <c:showPercent val="0"/>
          <c:showBubbleSize val="0"/>
        </c:dLbls>
        <c:gapWidth val="100"/>
        <c:overlap val="100"/>
        <c:axId val="89046016"/>
        <c:axId val="9538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490</c:v>
                </c:pt>
                <c:pt idx="2">
                  <c:v>#N/A</c:v>
                </c:pt>
                <c:pt idx="3">
                  <c:v>#N/A</c:v>
                </c:pt>
                <c:pt idx="4">
                  <c:v>401</c:v>
                </c:pt>
                <c:pt idx="5">
                  <c:v>#N/A</c:v>
                </c:pt>
                <c:pt idx="6">
                  <c:v>#N/A</c:v>
                </c:pt>
                <c:pt idx="7">
                  <c:v>405</c:v>
                </c:pt>
                <c:pt idx="8">
                  <c:v>#N/A</c:v>
                </c:pt>
                <c:pt idx="9">
                  <c:v>#N/A</c:v>
                </c:pt>
                <c:pt idx="10">
                  <c:v>409</c:v>
                </c:pt>
                <c:pt idx="11">
                  <c:v>#N/A</c:v>
                </c:pt>
                <c:pt idx="12">
                  <c:v>#N/A</c:v>
                </c:pt>
                <c:pt idx="13">
                  <c:v>349</c:v>
                </c:pt>
                <c:pt idx="14">
                  <c:v>#N/A</c:v>
                </c:pt>
              </c:numCache>
            </c:numRef>
          </c:val>
          <c:smooth val="0"/>
        </c:ser>
        <c:dLbls>
          <c:showLegendKey val="0"/>
          <c:showVal val="0"/>
          <c:showCatName val="0"/>
          <c:showSerName val="0"/>
          <c:showPercent val="0"/>
          <c:showBubbleSize val="0"/>
        </c:dLbls>
        <c:marker val="1"/>
        <c:smooth val="0"/>
        <c:axId val="89046016"/>
        <c:axId val="95388800"/>
      </c:lineChart>
      <c:catAx>
        <c:axId val="890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88800"/>
        <c:crosses val="autoZero"/>
        <c:auto val="1"/>
        <c:lblAlgn val="ctr"/>
        <c:lblOffset val="100"/>
        <c:tickLblSkip val="1"/>
        <c:tickMarkSkip val="1"/>
        <c:noMultiLvlLbl val="0"/>
      </c:catAx>
      <c:valAx>
        <c:axId val="9538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4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17055</c:v>
                </c:pt>
                <c:pt idx="5">
                  <c:v>17417</c:v>
                </c:pt>
                <c:pt idx="8">
                  <c:v>18377</c:v>
                </c:pt>
                <c:pt idx="11">
                  <c:v>18728</c:v>
                </c:pt>
                <c:pt idx="14">
                  <c:v>18592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c:v>
                </c:pt>
                <c:pt idx="5">
                  <c:v>114</c:v>
                </c:pt>
                <c:pt idx="8">
                  <c:v>135</c:v>
                </c:pt>
                <c:pt idx="11">
                  <c:v>113</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9701</c:v>
                </c:pt>
                <c:pt idx="5">
                  <c:v>10139</c:v>
                </c:pt>
                <c:pt idx="8">
                  <c:v>10504</c:v>
                </c:pt>
                <c:pt idx="11">
                  <c:v>10281</c:v>
                </c:pt>
                <c:pt idx="14">
                  <c:v>9517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2122</c:v>
                </c:pt>
                <c:pt idx="3">
                  <c:v>2193</c:v>
                </c:pt>
                <c:pt idx="6">
                  <c:v>2240</c:v>
                </c:pt>
                <c:pt idx="9">
                  <c:v>2299</c:v>
                </c:pt>
                <c:pt idx="12">
                  <c:v>2136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525</c:v>
                </c:pt>
                <c:pt idx="3">
                  <c:v>442</c:v>
                </c:pt>
                <c:pt idx="6">
                  <c:v>491</c:v>
                </c:pt>
                <c:pt idx="9">
                  <c:v>424</c:v>
                </c:pt>
                <c:pt idx="12">
                  <c:v>373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11231</c:v>
                </c:pt>
                <c:pt idx="3">
                  <c:v>10934</c:v>
                </c:pt>
                <c:pt idx="6">
                  <c:v>10769</c:v>
                </c:pt>
                <c:pt idx="9">
                  <c:v>10698</c:v>
                </c:pt>
                <c:pt idx="12">
                  <c:v>10878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912</c:v>
                </c:pt>
                <c:pt idx="3">
                  <c:v>956</c:v>
                </c:pt>
                <c:pt idx="6">
                  <c:v>944</c:v>
                </c:pt>
                <c:pt idx="9">
                  <c:v>937</c:v>
                </c:pt>
                <c:pt idx="12">
                  <c:v>748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13470</c:v>
                </c:pt>
                <c:pt idx="3">
                  <c:v>13811</c:v>
                </c:pt>
                <c:pt idx="6">
                  <c:v>14868</c:v>
                </c:pt>
                <c:pt idx="9">
                  <c:v>15747</c:v>
                </c:pt>
                <c:pt idx="12">
                  <c:v>16025</c:v>
                </c:pt>
              </c:numCache>
            </c:numRef>
          </c:val>
        </c:ser>
        <c:dLbls>
          <c:showLegendKey val="0"/>
          <c:showVal val="0"/>
          <c:showCatName val="0"/>
          <c:showSerName val="0"/>
          <c:showPercent val="0"/>
          <c:showBubbleSize val="0"/>
        </c:dLbls>
        <c:gapWidth val="100"/>
        <c:overlap val="100"/>
        <c:axId val="89208320"/>
        <c:axId val="8921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1395</c:v>
                </c:pt>
                <c:pt idx="2">
                  <c:v>#N/A</c:v>
                </c:pt>
                <c:pt idx="3">
                  <c:v>#N/A</c:v>
                </c:pt>
                <c:pt idx="4">
                  <c:v>665</c:v>
                </c:pt>
                <c:pt idx="5">
                  <c:v>#N/A</c:v>
                </c:pt>
                <c:pt idx="6">
                  <c:v>#N/A</c:v>
                </c:pt>
                <c:pt idx="7">
                  <c:v>296</c:v>
                </c:pt>
                <c:pt idx="8">
                  <c:v>#N/A</c:v>
                </c:pt>
                <c:pt idx="9">
                  <c:v>#N/A</c:v>
                </c:pt>
                <c:pt idx="10">
                  <c:v>982</c:v>
                </c:pt>
                <c:pt idx="11">
                  <c:v>#N/A</c:v>
                </c:pt>
                <c:pt idx="12">
                  <c:v>#N/A</c:v>
                </c:pt>
                <c:pt idx="13">
                  <c:v>1956</c:v>
                </c:pt>
                <c:pt idx="14">
                  <c:v>#N/A</c:v>
                </c:pt>
              </c:numCache>
            </c:numRef>
          </c:val>
          <c:smooth val="0"/>
        </c:ser>
        <c:dLbls>
          <c:showLegendKey val="0"/>
          <c:showVal val="0"/>
          <c:showCatName val="0"/>
          <c:showSerName val="0"/>
          <c:showPercent val="0"/>
          <c:showBubbleSize val="0"/>
        </c:dLbls>
        <c:marker val="1"/>
        <c:smooth val="0"/>
        <c:axId val="89208320"/>
        <c:axId val="89210240"/>
      </c:lineChart>
      <c:catAx>
        <c:axId val="892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10240"/>
        <c:crosses val="autoZero"/>
        <c:auto val="1"/>
        <c:lblAlgn val="ctr"/>
        <c:lblOffset val="100"/>
        <c:tickLblSkip val="1"/>
        <c:tickMarkSkip val="1"/>
        <c:noMultiLvlLbl val="0"/>
      </c:catAx>
      <c:valAx>
        <c:axId val="892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0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35,405
34,986
374.65
16,906,711
15,970,581
832,412
10,841,503
16,009,787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の０．６７から０．６６と０．０１ポイント下降したが、類似団体平均よりも、０．２５ポイント高い数値となっている。今後も税の徴収強化等により歳入確保に取り組むとともに、引き続き経常経費の削減に取り組み、行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7" name="直線コネクタ 66"/>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0" name="直線コネクタ 69"/>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137583</xdr:rowOff>
    </xdr:to>
    <xdr:cxnSp macro="">
      <xdr:nvCxnSpPr>
        <xdr:cNvPr id="73" name="直線コネクタ 72"/>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77258</xdr:rowOff>
    </xdr:to>
    <xdr:cxnSp macro="">
      <xdr:nvCxnSpPr>
        <xdr:cNvPr id="76" name="直線コネクタ 75"/>
        <xdr:cNvCxnSpPr/>
      </xdr:nvCxnSpPr>
      <xdr:spPr>
        <a:xfrm>
          <a:off x="1447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6" name="円/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8" name="円/楕円 87"/>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89" name="テキスト ボックス 88"/>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0" name="円/楕円 89"/>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1" name="テキスト ボックス 90"/>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2" name="円/楕円 91"/>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3" name="テキスト ボックス 92"/>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4" name="円/楕円 93"/>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5" name="テキスト ボックス 94"/>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７４．２％から８０．６％へと６．４ポイント増加したが、類似団体平均を９．５ポイント下回っている。今後も本巣市定員適正化計画による適正な定員管理に努めるとともに、行財政改革大綱実施計画及び事務事業評価による見直し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95250</xdr:rowOff>
    </xdr:from>
    <xdr:to>
      <xdr:col>7</xdr:col>
      <xdr:colOff>152400</xdr:colOff>
      <xdr:row>67</xdr:row>
      <xdr:rowOff>145161</xdr:rowOff>
    </xdr:to>
    <xdr:cxnSp macro="">
      <xdr:nvCxnSpPr>
        <xdr:cNvPr id="123" name="直線コネクタ 122"/>
        <xdr:cNvCxnSpPr/>
      </xdr:nvCxnSpPr>
      <xdr:spPr>
        <a:xfrm flipV="1">
          <a:off x="4953000" y="10553700"/>
          <a:ext cx="0" cy="1078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117238</xdr:rowOff>
    </xdr:from>
    <xdr:ext cx="762000" cy="259045"/>
    <xdr:sp macro="" textlink="">
      <xdr:nvSpPr>
        <xdr:cNvPr id="124" name="財政構造の弾力性最小値テキスト"/>
        <xdr:cNvSpPr txBox="1"/>
      </xdr:nvSpPr>
      <xdr:spPr>
        <a:xfrm>
          <a:off x="5041900" y="1160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67</xdr:row>
      <xdr:rowOff>145161</xdr:rowOff>
    </xdr:from>
    <xdr:to>
      <xdr:col>7</xdr:col>
      <xdr:colOff>241300</xdr:colOff>
      <xdr:row>67</xdr:row>
      <xdr:rowOff>145161</xdr:rowOff>
    </xdr:to>
    <xdr:cxnSp macro="">
      <xdr:nvCxnSpPr>
        <xdr:cNvPr id="125" name="直線コネクタ 124"/>
        <xdr:cNvCxnSpPr/>
      </xdr:nvCxnSpPr>
      <xdr:spPr>
        <a:xfrm>
          <a:off x="4864100" y="116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10177</xdr:rowOff>
    </xdr:from>
    <xdr:ext cx="762000" cy="259045"/>
    <xdr:sp macro="" textlink="">
      <xdr:nvSpPr>
        <xdr:cNvPr id="126" name="財政構造の弾力性最大値テキスト"/>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61</xdr:row>
      <xdr:rowOff>95250</xdr:rowOff>
    </xdr:from>
    <xdr:to>
      <xdr:col>7</xdr:col>
      <xdr:colOff>241300</xdr:colOff>
      <xdr:row>61</xdr:row>
      <xdr:rowOff>95250</xdr:rowOff>
    </xdr:to>
    <xdr:cxnSp macro="">
      <xdr:nvCxnSpPr>
        <xdr:cNvPr id="127" name="直線コネクタ 126"/>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126746</xdr:rowOff>
    </xdr:from>
    <xdr:to>
      <xdr:col>7</xdr:col>
      <xdr:colOff>152400</xdr:colOff>
      <xdr:row>61</xdr:row>
      <xdr:rowOff>109728</xdr:rowOff>
    </xdr:to>
    <xdr:cxnSp macro="">
      <xdr:nvCxnSpPr>
        <xdr:cNvPr id="128" name="直線コネクタ 127"/>
        <xdr:cNvCxnSpPr/>
      </xdr:nvCxnSpPr>
      <xdr:spPr>
        <a:xfrm>
          <a:off x="4114800" y="1041374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88790</xdr:rowOff>
    </xdr:from>
    <xdr:ext cx="762000" cy="259045"/>
    <xdr:sp macro="" textlink="">
      <xdr:nvSpPr>
        <xdr:cNvPr id="129" name="財政構造の弾力性平均値テキスト"/>
        <xdr:cNvSpPr txBox="1"/>
      </xdr:nvSpPr>
      <xdr:spPr>
        <a:xfrm>
          <a:off x="5041900" y="10718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116713</xdr:rowOff>
    </xdr:from>
    <xdr:to>
      <xdr:col>7</xdr:col>
      <xdr:colOff>203200</xdr:colOff>
      <xdr:row>63</xdr:row>
      <xdr:rowOff>46863</xdr:rowOff>
    </xdr:to>
    <xdr:sp macro="" textlink="">
      <xdr:nvSpPr>
        <xdr:cNvPr id="130" name="フローチャート : 判断 129"/>
        <xdr:cNvSpPr/>
      </xdr:nvSpPr>
      <xdr:spPr>
        <a:xfrm>
          <a:off x="4902200" y="1074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60</xdr:row>
      <xdr:rowOff>126746</xdr:rowOff>
    </xdr:to>
    <xdr:cxnSp macro="">
      <xdr:nvCxnSpPr>
        <xdr:cNvPr id="131" name="直線コネクタ 130"/>
        <xdr:cNvCxnSpPr/>
      </xdr:nvCxnSpPr>
      <xdr:spPr>
        <a:xfrm>
          <a:off x="3225800" y="103992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82931</xdr:rowOff>
    </xdr:from>
    <xdr:to>
      <xdr:col>6</xdr:col>
      <xdr:colOff>50800</xdr:colOff>
      <xdr:row>63</xdr:row>
      <xdr:rowOff>13081</xdr:rowOff>
    </xdr:to>
    <xdr:sp macro="" textlink="">
      <xdr:nvSpPr>
        <xdr:cNvPr id="132" name="フローチャート : 判断 131"/>
        <xdr:cNvSpPr/>
      </xdr:nvSpPr>
      <xdr:spPr>
        <a:xfrm>
          <a:off x="4064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169308</xdr:rowOff>
    </xdr:from>
    <xdr:ext cx="736600" cy="259045"/>
    <xdr:sp macro="" textlink="">
      <xdr:nvSpPr>
        <xdr:cNvPr id="133" name="テキスト ボックス 132"/>
        <xdr:cNvSpPr txBox="1"/>
      </xdr:nvSpPr>
      <xdr:spPr>
        <a:xfrm>
          <a:off x="3733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60</xdr:row>
      <xdr:rowOff>170180</xdr:rowOff>
    </xdr:to>
    <xdr:cxnSp macro="">
      <xdr:nvCxnSpPr>
        <xdr:cNvPr id="134" name="直線コネクタ 133"/>
        <xdr:cNvCxnSpPr/>
      </xdr:nvCxnSpPr>
      <xdr:spPr>
        <a:xfrm flipV="1">
          <a:off x="2336800" y="103992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5" name="フローチャート : 判断 134"/>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6" name="テキスト ボックス 135"/>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60</xdr:row>
      <xdr:rowOff>170180</xdr:rowOff>
    </xdr:to>
    <xdr:cxnSp macro="">
      <xdr:nvCxnSpPr>
        <xdr:cNvPr id="137" name="直線コネクタ 136"/>
        <xdr:cNvCxnSpPr/>
      </xdr:nvCxnSpPr>
      <xdr:spPr>
        <a:xfrm>
          <a:off x="1447800" y="1045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8" name="フローチャート : 判断 137"/>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39" name="テキスト ボックス 13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40" name="フローチャート : 判断 139"/>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123461</xdr:rowOff>
    </xdr:from>
    <xdr:ext cx="762000" cy="259045"/>
    <xdr:sp macro="" textlink="">
      <xdr:nvSpPr>
        <xdr:cNvPr id="141" name="テキスト ボックス 140"/>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58928</xdr:rowOff>
    </xdr:from>
    <xdr:to>
      <xdr:col>7</xdr:col>
      <xdr:colOff>203200</xdr:colOff>
      <xdr:row>61</xdr:row>
      <xdr:rowOff>160528</xdr:rowOff>
    </xdr:to>
    <xdr:sp macro="" textlink="">
      <xdr:nvSpPr>
        <xdr:cNvPr id="147" name="円/楕円 146"/>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151655</xdr:rowOff>
    </xdr:from>
    <xdr:ext cx="762000" cy="259045"/>
    <xdr:sp macro="" textlink="">
      <xdr:nvSpPr>
        <xdr:cNvPr id="148" name="財政構造の弾力性該当値テキスト"/>
        <xdr:cNvSpPr txBox="1"/>
      </xdr:nvSpPr>
      <xdr:spPr>
        <a:xfrm>
          <a:off x="5041900" y="1043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75946</xdr:rowOff>
    </xdr:from>
    <xdr:to>
      <xdr:col>6</xdr:col>
      <xdr:colOff>50800</xdr:colOff>
      <xdr:row>61</xdr:row>
      <xdr:rowOff>6096</xdr:rowOff>
    </xdr:to>
    <xdr:sp macro="" textlink="">
      <xdr:nvSpPr>
        <xdr:cNvPr id="149" name="円/楕円 148"/>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16273</xdr:rowOff>
    </xdr:from>
    <xdr:ext cx="736600" cy="259045"/>
    <xdr:sp macro="" textlink="">
      <xdr:nvSpPr>
        <xdr:cNvPr id="150" name="テキスト ボックス 149"/>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61468</xdr:rowOff>
    </xdr:from>
    <xdr:to>
      <xdr:col>4</xdr:col>
      <xdr:colOff>533400</xdr:colOff>
      <xdr:row>60</xdr:row>
      <xdr:rowOff>163068</xdr:rowOff>
    </xdr:to>
    <xdr:sp macro="" textlink="">
      <xdr:nvSpPr>
        <xdr:cNvPr id="151" name="円/楕円 150"/>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1795</xdr:rowOff>
    </xdr:from>
    <xdr:ext cx="762000" cy="259045"/>
    <xdr:sp macro="" textlink="">
      <xdr:nvSpPr>
        <xdr:cNvPr id="152" name="テキスト ボックス 151"/>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3" name="円/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5" name="円/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を３８１円下回っているものの、人件費は下降傾向にあるが物件費は合併以前からの各種公共施設をそのまま利用していること等により、全国平均を上回っている状況。今後は事務事業評価により事業を見直すとともに、既存施設の統廃合などを行い、人件費や物件費等の縮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3" name="直線コネクタ 182"/>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4"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5" name="直線コネクタ 184"/>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86"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87" name="直線コネクタ 186"/>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163832</xdr:rowOff>
    </xdr:from>
    <xdr:to>
      <xdr:col>7</xdr:col>
      <xdr:colOff>152400</xdr:colOff>
      <xdr:row>83</xdr:row>
      <xdr:rowOff>16990</xdr:rowOff>
    </xdr:to>
    <xdr:cxnSp macro="">
      <xdr:nvCxnSpPr>
        <xdr:cNvPr id="188" name="直線コネクタ 187"/>
        <xdr:cNvCxnSpPr/>
      </xdr:nvCxnSpPr>
      <xdr:spPr>
        <a:xfrm>
          <a:off x="4114800" y="14222732"/>
          <a:ext cx="8382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89"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0" name="フローチャート : 判断 189"/>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156955</xdr:rowOff>
    </xdr:from>
    <xdr:to>
      <xdr:col>6</xdr:col>
      <xdr:colOff>0</xdr:colOff>
      <xdr:row>82</xdr:row>
      <xdr:rowOff>163832</xdr:rowOff>
    </xdr:to>
    <xdr:cxnSp macro="">
      <xdr:nvCxnSpPr>
        <xdr:cNvPr id="191" name="直線コネクタ 190"/>
        <xdr:cNvCxnSpPr/>
      </xdr:nvCxnSpPr>
      <xdr:spPr>
        <a:xfrm>
          <a:off x="3225800" y="1421585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2" name="フローチャート : 判断 191"/>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3" name="テキスト ボックス 192"/>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156955</xdr:rowOff>
    </xdr:from>
    <xdr:to>
      <xdr:col>4</xdr:col>
      <xdr:colOff>482600</xdr:colOff>
      <xdr:row>82</xdr:row>
      <xdr:rowOff>160951</xdr:rowOff>
    </xdr:to>
    <xdr:cxnSp macro="">
      <xdr:nvCxnSpPr>
        <xdr:cNvPr id="194" name="直線コネクタ 193"/>
        <xdr:cNvCxnSpPr/>
      </xdr:nvCxnSpPr>
      <xdr:spPr>
        <a:xfrm flipV="1">
          <a:off x="2336800" y="14215855"/>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5" name="フローチャート : 判断 194"/>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196" name="テキスト ボックス 195"/>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150661</xdr:rowOff>
    </xdr:from>
    <xdr:to>
      <xdr:col>3</xdr:col>
      <xdr:colOff>279400</xdr:colOff>
      <xdr:row>82</xdr:row>
      <xdr:rowOff>160951</xdr:rowOff>
    </xdr:to>
    <xdr:cxnSp macro="">
      <xdr:nvCxnSpPr>
        <xdr:cNvPr id="197" name="直線コネクタ 196"/>
        <xdr:cNvCxnSpPr/>
      </xdr:nvCxnSpPr>
      <xdr:spPr>
        <a:xfrm>
          <a:off x="1447800" y="14209561"/>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198" name="フローチャート : 判断 197"/>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199" name="テキスト ボックス 198"/>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0" name="フローチャート : 判断 199"/>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1" name="テキスト ボックス 200"/>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137640</xdr:rowOff>
    </xdr:from>
    <xdr:to>
      <xdr:col>7</xdr:col>
      <xdr:colOff>203200</xdr:colOff>
      <xdr:row>83</xdr:row>
      <xdr:rowOff>67790</xdr:rowOff>
    </xdr:to>
    <xdr:sp macro="" textlink="">
      <xdr:nvSpPr>
        <xdr:cNvPr id="207" name="円/楕円 206"/>
        <xdr:cNvSpPr/>
      </xdr:nvSpPr>
      <xdr:spPr>
        <a:xfrm>
          <a:off x="4902200" y="141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154167</xdr:rowOff>
    </xdr:from>
    <xdr:ext cx="762000" cy="259045"/>
    <xdr:sp macro="" textlink="">
      <xdr:nvSpPr>
        <xdr:cNvPr id="208" name="人件費・物件費等の状況該当値テキスト"/>
        <xdr:cNvSpPr txBox="1"/>
      </xdr:nvSpPr>
      <xdr:spPr>
        <a:xfrm>
          <a:off x="5041900" y="140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113032</xdr:rowOff>
    </xdr:from>
    <xdr:to>
      <xdr:col>6</xdr:col>
      <xdr:colOff>50800</xdr:colOff>
      <xdr:row>83</xdr:row>
      <xdr:rowOff>43182</xdr:rowOff>
    </xdr:to>
    <xdr:sp macro="" textlink="">
      <xdr:nvSpPr>
        <xdr:cNvPr id="209" name="円/楕円 208"/>
        <xdr:cNvSpPr/>
      </xdr:nvSpPr>
      <xdr:spPr>
        <a:xfrm>
          <a:off x="4064000" y="141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53359</xdr:rowOff>
    </xdr:from>
    <xdr:ext cx="736600" cy="259045"/>
    <xdr:sp macro="" textlink="">
      <xdr:nvSpPr>
        <xdr:cNvPr id="210" name="テキスト ボックス 209"/>
        <xdr:cNvSpPr txBox="1"/>
      </xdr:nvSpPr>
      <xdr:spPr>
        <a:xfrm>
          <a:off x="3733800" y="1394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106155</xdr:rowOff>
    </xdr:from>
    <xdr:to>
      <xdr:col>4</xdr:col>
      <xdr:colOff>533400</xdr:colOff>
      <xdr:row>83</xdr:row>
      <xdr:rowOff>36305</xdr:rowOff>
    </xdr:to>
    <xdr:sp macro="" textlink="">
      <xdr:nvSpPr>
        <xdr:cNvPr id="211" name="円/楕円 210"/>
        <xdr:cNvSpPr/>
      </xdr:nvSpPr>
      <xdr:spPr>
        <a:xfrm>
          <a:off x="3175000" y="141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46482</xdr:rowOff>
    </xdr:from>
    <xdr:ext cx="762000" cy="259045"/>
    <xdr:sp macro="" textlink="">
      <xdr:nvSpPr>
        <xdr:cNvPr id="212" name="テキスト ボックス 211"/>
        <xdr:cNvSpPr txBox="1"/>
      </xdr:nvSpPr>
      <xdr:spPr>
        <a:xfrm>
          <a:off x="2844800" y="1393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110151</xdr:rowOff>
    </xdr:from>
    <xdr:to>
      <xdr:col>3</xdr:col>
      <xdr:colOff>330200</xdr:colOff>
      <xdr:row>83</xdr:row>
      <xdr:rowOff>40301</xdr:rowOff>
    </xdr:to>
    <xdr:sp macro="" textlink="">
      <xdr:nvSpPr>
        <xdr:cNvPr id="213" name="円/楕円 212"/>
        <xdr:cNvSpPr/>
      </xdr:nvSpPr>
      <xdr:spPr>
        <a:xfrm>
          <a:off x="2286000" y="141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50478</xdr:rowOff>
    </xdr:from>
    <xdr:ext cx="762000" cy="259045"/>
    <xdr:sp macro="" textlink="">
      <xdr:nvSpPr>
        <xdr:cNvPr id="214" name="テキスト ボックス 213"/>
        <xdr:cNvSpPr txBox="1"/>
      </xdr:nvSpPr>
      <xdr:spPr>
        <a:xfrm>
          <a:off x="1955800" y="13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99861</xdr:rowOff>
    </xdr:from>
    <xdr:to>
      <xdr:col>2</xdr:col>
      <xdr:colOff>127000</xdr:colOff>
      <xdr:row>83</xdr:row>
      <xdr:rowOff>30011</xdr:rowOff>
    </xdr:to>
    <xdr:sp macro="" textlink="">
      <xdr:nvSpPr>
        <xdr:cNvPr id="215" name="円/楕円 214"/>
        <xdr:cNvSpPr/>
      </xdr:nvSpPr>
      <xdr:spPr>
        <a:xfrm>
          <a:off x="1397000" y="141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40188</xdr:rowOff>
    </xdr:from>
    <xdr:ext cx="762000" cy="259045"/>
    <xdr:sp macro="" textlink="">
      <xdr:nvSpPr>
        <xdr:cNvPr id="216" name="テキスト ボックス 215"/>
        <xdr:cNvSpPr txBox="1"/>
      </xdr:nvSpPr>
      <xdr:spPr>
        <a:xfrm>
          <a:off x="1066800" y="139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ラスパイレス指数は、人件費の抑制や給与水準の適正化に努めており、９４．７と類似団体を２．３ポイント下回っている。今後も引き続き給与の適正化に努める。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3" name="直線コネクタ 242"/>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4"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5" name="直線コネクタ 244"/>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46"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47" name="直線コネクタ 246"/>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17272</xdr:rowOff>
    </xdr:to>
    <xdr:cxnSp macro="">
      <xdr:nvCxnSpPr>
        <xdr:cNvPr id="248" name="直線コネクタ 247"/>
        <xdr:cNvCxnSpPr/>
      </xdr:nvCxnSpPr>
      <xdr:spPr>
        <a:xfrm>
          <a:off x="16179800" y="14576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4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0" name="フローチャート : 判断 24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87</xdr:row>
      <xdr:rowOff>7365</xdr:rowOff>
    </xdr:to>
    <xdr:cxnSp macro="">
      <xdr:nvCxnSpPr>
        <xdr:cNvPr id="251" name="直線コネクタ 250"/>
        <xdr:cNvCxnSpPr/>
      </xdr:nvCxnSpPr>
      <xdr:spPr>
        <a:xfrm flipV="1">
          <a:off x="15290800" y="145760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2" name="フローチャート : 判断 251"/>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3" name="テキスト ボックス 252"/>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87</xdr:row>
      <xdr:rowOff>7365</xdr:rowOff>
    </xdr:to>
    <xdr:cxnSp macro="">
      <xdr:nvCxnSpPr>
        <xdr:cNvPr id="254" name="直線コネクタ 253"/>
        <xdr:cNvCxnSpPr/>
      </xdr:nvCxnSpPr>
      <xdr:spPr>
        <a:xfrm>
          <a:off x="14401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5" name="フローチャート : 判断 254"/>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56" name="テキスト ボックス 255"/>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86</xdr:row>
      <xdr:rowOff>169163</xdr:rowOff>
    </xdr:to>
    <xdr:cxnSp macro="">
      <xdr:nvCxnSpPr>
        <xdr:cNvPr id="257" name="直線コネクタ 256"/>
        <xdr:cNvCxnSpPr/>
      </xdr:nvCxnSpPr>
      <xdr:spPr>
        <a:xfrm>
          <a:off x="13512800" y="14508480"/>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58" name="フローチャート : 判断 257"/>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59" name="テキスト ボックス 258"/>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0" name="フローチャート : 判断 259"/>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1" name="テキスト ボックス 260"/>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67" name="円/楕円 266"/>
        <xdr:cNvSpPr/>
      </xdr:nvSpPr>
      <xdr:spPr>
        <a:xfrm>
          <a:off x="169672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154449</xdr:rowOff>
    </xdr:from>
    <xdr:ext cx="762000" cy="259045"/>
    <xdr:sp macro="" textlink="">
      <xdr:nvSpPr>
        <xdr:cNvPr id="268" name="給与水準   （国との比較）該当値テキスト"/>
        <xdr:cNvSpPr txBox="1"/>
      </xdr:nvSpPr>
      <xdr:spPr>
        <a:xfrm>
          <a:off x="17106900" y="143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69" name="円/楕円 268"/>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0" name="テキスト ボックス 269"/>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128015</xdr:rowOff>
    </xdr:from>
    <xdr:to>
      <xdr:col>22</xdr:col>
      <xdr:colOff>254000</xdr:colOff>
      <xdr:row>87</xdr:row>
      <xdr:rowOff>58165</xdr:rowOff>
    </xdr:to>
    <xdr:sp macro="" textlink="">
      <xdr:nvSpPr>
        <xdr:cNvPr id="271" name="円/楕円 270"/>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68342</xdr:rowOff>
    </xdr:from>
    <xdr:ext cx="762000" cy="259045"/>
    <xdr:sp macro="" textlink="">
      <xdr:nvSpPr>
        <xdr:cNvPr id="272" name="テキスト ボックス 271"/>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118363</xdr:rowOff>
    </xdr:from>
    <xdr:to>
      <xdr:col>21</xdr:col>
      <xdr:colOff>50800</xdr:colOff>
      <xdr:row>87</xdr:row>
      <xdr:rowOff>48513</xdr:rowOff>
    </xdr:to>
    <xdr:sp macro="" textlink="">
      <xdr:nvSpPr>
        <xdr:cNvPr id="273" name="円/楕円 272"/>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58690</xdr:rowOff>
    </xdr:from>
    <xdr:ext cx="762000" cy="259045"/>
    <xdr:sp macro="" textlink="">
      <xdr:nvSpPr>
        <xdr:cNvPr id="274" name="テキスト ボックス 273"/>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5" name="円/楕円 274"/>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76" name="テキスト ボックス 275"/>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人口千人当たり職員数は、類似団体平均を１．３７人下回っている。今後も本巣市定員適正化計画により、適正な定員管理に努める。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08" name="直線コネクタ 307"/>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09"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0" name="直線コネクタ 309"/>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1"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2" name="直線コネクタ 311"/>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51586</xdr:rowOff>
    </xdr:to>
    <xdr:cxnSp macro="">
      <xdr:nvCxnSpPr>
        <xdr:cNvPr id="313" name="直線コネクタ 312"/>
        <xdr:cNvCxnSpPr/>
      </xdr:nvCxnSpPr>
      <xdr:spPr>
        <a:xfrm>
          <a:off x="16179800" y="1050199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4"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5" name="フローチャート : 判断 314"/>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43543</xdr:rowOff>
    </xdr:to>
    <xdr:cxnSp macro="">
      <xdr:nvCxnSpPr>
        <xdr:cNvPr id="316" name="直線コネクタ 315"/>
        <xdr:cNvCxnSpPr/>
      </xdr:nvCxnSpPr>
      <xdr:spPr>
        <a:xfrm>
          <a:off x="15290800" y="1049739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17" name="フローチャート : 判断 31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18" name="テキスト ボックス 31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38946</xdr:rowOff>
    </xdr:from>
    <xdr:to>
      <xdr:col>22</xdr:col>
      <xdr:colOff>203200</xdr:colOff>
      <xdr:row>61</xdr:row>
      <xdr:rowOff>59630</xdr:rowOff>
    </xdr:to>
    <xdr:cxnSp macro="">
      <xdr:nvCxnSpPr>
        <xdr:cNvPr id="319" name="直線コネクタ 318"/>
        <xdr:cNvCxnSpPr/>
      </xdr:nvCxnSpPr>
      <xdr:spPr>
        <a:xfrm flipV="1">
          <a:off x="14401800" y="104973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0" name="フローチャート : 判断 319"/>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1" name="テキスト ボックス 320"/>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59630</xdr:rowOff>
    </xdr:from>
    <xdr:to>
      <xdr:col>21</xdr:col>
      <xdr:colOff>0</xdr:colOff>
      <xdr:row>61</xdr:row>
      <xdr:rowOff>69971</xdr:rowOff>
    </xdr:to>
    <xdr:cxnSp macro="">
      <xdr:nvCxnSpPr>
        <xdr:cNvPr id="322" name="直線コネクタ 321"/>
        <xdr:cNvCxnSpPr/>
      </xdr:nvCxnSpPr>
      <xdr:spPr>
        <a:xfrm flipV="1">
          <a:off x="13512800" y="105180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3" name="フローチャート : 判断 322"/>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4" name="テキスト ボックス 323"/>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5" name="フローチャート : 判断 324"/>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26" name="テキスト ボックス 325"/>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786</xdr:rowOff>
    </xdr:from>
    <xdr:to>
      <xdr:col>24</xdr:col>
      <xdr:colOff>609600</xdr:colOff>
      <xdr:row>61</xdr:row>
      <xdr:rowOff>102386</xdr:rowOff>
    </xdr:to>
    <xdr:sp macro="" textlink="">
      <xdr:nvSpPr>
        <xdr:cNvPr id="332" name="円/楕円 331"/>
        <xdr:cNvSpPr/>
      </xdr:nvSpPr>
      <xdr:spPr>
        <a:xfrm>
          <a:off x="169672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17313</xdr:rowOff>
    </xdr:from>
    <xdr:ext cx="762000" cy="259045"/>
    <xdr:sp macro="" textlink="">
      <xdr:nvSpPr>
        <xdr:cNvPr id="333" name="定員管理の状況該当値テキスト"/>
        <xdr:cNvSpPr txBox="1"/>
      </xdr:nvSpPr>
      <xdr:spPr>
        <a:xfrm>
          <a:off x="17106900" y="103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164193</xdr:rowOff>
    </xdr:from>
    <xdr:to>
      <xdr:col>23</xdr:col>
      <xdr:colOff>457200</xdr:colOff>
      <xdr:row>61</xdr:row>
      <xdr:rowOff>94343</xdr:rowOff>
    </xdr:to>
    <xdr:sp macro="" textlink="">
      <xdr:nvSpPr>
        <xdr:cNvPr id="334" name="円/楕円 333"/>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104520</xdr:rowOff>
    </xdr:from>
    <xdr:ext cx="736600" cy="259045"/>
    <xdr:sp macro="" textlink="">
      <xdr:nvSpPr>
        <xdr:cNvPr id="335" name="テキスト ボックス 334"/>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36" name="円/楕円 335"/>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37" name="テキスト ボックス 336"/>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8830</xdr:rowOff>
    </xdr:from>
    <xdr:to>
      <xdr:col>21</xdr:col>
      <xdr:colOff>50800</xdr:colOff>
      <xdr:row>61</xdr:row>
      <xdr:rowOff>110430</xdr:rowOff>
    </xdr:to>
    <xdr:sp macro="" textlink="">
      <xdr:nvSpPr>
        <xdr:cNvPr id="338" name="円/楕円 337"/>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120607</xdr:rowOff>
    </xdr:from>
    <xdr:ext cx="762000" cy="259045"/>
    <xdr:sp macro="" textlink="">
      <xdr:nvSpPr>
        <xdr:cNvPr id="339" name="テキスト ボックス 338"/>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19171</xdr:rowOff>
    </xdr:from>
    <xdr:to>
      <xdr:col>19</xdr:col>
      <xdr:colOff>533400</xdr:colOff>
      <xdr:row>61</xdr:row>
      <xdr:rowOff>120771</xdr:rowOff>
    </xdr:to>
    <xdr:sp macro="" textlink="">
      <xdr:nvSpPr>
        <xdr:cNvPr id="340" name="円/楕円 339"/>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130948</xdr:rowOff>
    </xdr:from>
    <xdr:ext cx="762000" cy="259045"/>
    <xdr:sp macro="" textlink="">
      <xdr:nvSpPr>
        <xdr:cNvPr id="341" name="テキスト ボックス 340"/>
        <xdr:cNvSpPr txBox="1"/>
      </xdr:nvSpPr>
      <xdr:spPr>
        <a:xfrm>
          <a:off x="13131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実質公債費比率は、前年度の４．１％から４．０％へと０．１ポイント減少した。今後も、後年度の財政負担とならないように交付税算入率の高い地方債を借り入れるなど公債費の適正化を図る。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68" name="直線コネクタ 367"/>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1"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2" name="直線コネクタ 371"/>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16383</xdr:rowOff>
    </xdr:to>
    <xdr:cxnSp macro="">
      <xdr:nvCxnSpPr>
        <xdr:cNvPr id="373" name="直線コネクタ 372"/>
        <xdr:cNvCxnSpPr/>
      </xdr:nvCxnSpPr>
      <xdr:spPr>
        <a:xfrm flipV="1">
          <a:off x="16179800" y="63576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4"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5" name="フローチャート : 判断 374"/>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16383</xdr:rowOff>
    </xdr:from>
    <xdr:to>
      <xdr:col>23</xdr:col>
      <xdr:colOff>406400</xdr:colOff>
      <xdr:row>37</xdr:row>
      <xdr:rowOff>26035</xdr:rowOff>
    </xdr:to>
    <xdr:cxnSp macro="">
      <xdr:nvCxnSpPr>
        <xdr:cNvPr id="376" name="直線コネクタ 375"/>
        <xdr:cNvCxnSpPr/>
      </xdr:nvCxnSpPr>
      <xdr:spPr>
        <a:xfrm flipV="1">
          <a:off x="15290800" y="636003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77" name="フローチャート : 判断 376"/>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78" name="テキスト ボックス 377"/>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26035</xdr:rowOff>
    </xdr:from>
    <xdr:to>
      <xdr:col>22</xdr:col>
      <xdr:colOff>203200</xdr:colOff>
      <xdr:row>37</xdr:row>
      <xdr:rowOff>54991</xdr:rowOff>
    </xdr:to>
    <xdr:cxnSp macro="">
      <xdr:nvCxnSpPr>
        <xdr:cNvPr id="379" name="直線コネクタ 378"/>
        <xdr:cNvCxnSpPr/>
      </xdr:nvCxnSpPr>
      <xdr:spPr>
        <a:xfrm flipV="1">
          <a:off x="14401800" y="63696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0" name="フローチャート : 判断 379"/>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1" name="テキスト ボックス 380"/>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54991</xdr:rowOff>
    </xdr:from>
    <xdr:to>
      <xdr:col>21</xdr:col>
      <xdr:colOff>0</xdr:colOff>
      <xdr:row>37</xdr:row>
      <xdr:rowOff>86360</xdr:rowOff>
    </xdr:to>
    <xdr:cxnSp macro="">
      <xdr:nvCxnSpPr>
        <xdr:cNvPr id="382" name="直線コネクタ 381"/>
        <xdr:cNvCxnSpPr/>
      </xdr:nvCxnSpPr>
      <xdr:spPr>
        <a:xfrm flipV="1">
          <a:off x="13512800" y="639864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3" name="フローチャート : 判断 382"/>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4" name="テキスト ボックス 383"/>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5" name="フローチャート : 判断 384"/>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86" name="テキスト ボックス 385"/>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392" name="円/楕円 39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393"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137033</xdr:rowOff>
    </xdr:from>
    <xdr:to>
      <xdr:col>23</xdr:col>
      <xdr:colOff>457200</xdr:colOff>
      <xdr:row>37</xdr:row>
      <xdr:rowOff>67183</xdr:rowOff>
    </xdr:to>
    <xdr:sp macro="" textlink="">
      <xdr:nvSpPr>
        <xdr:cNvPr id="394" name="円/楕円 393"/>
        <xdr:cNvSpPr/>
      </xdr:nvSpPr>
      <xdr:spPr>
        <a:xfrm>
          <a:off x="161290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77360</xdr:rowOff>
    </xdr:from>
    <xdr:ext cx="736600" cy="259045"/>
    <xdr:sp macro="" textlink="">
      <xdr:nvSpPr>
        <xdr:cNvPr id="395" name="テキスト ボックス 394"/>
        <xdr:cNvSpPr txBox="1"/>
      </xdr:nvSpPr>
      <xdr:spPr>
        <a:xfrm>
          <a:off x="15798800" y="607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146685</xdr:rowOff>
    </xdr:from>
    <xdr:to>
      <xdr:col>22</xdr:col>
      <xdr:colOff>254000</xdr:colOff>
      <xdr:row>37</xdr:row>
      <xdr:rowOff>76835</xdr:rowOff>
    </xdr:to>
    <xdr:sp macro="" textlink="">
      <xdr:nvSpPr>
        <xdr:cNvPr id="396" name="円/楕円 395"/>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87012</xdr:rowOff>
    </xdr:from>
    <xdr:ext cx="762000" cy="259045"/>
    <xdr:sp macro="" textlink="">
      <xdr:nvSpPr>
        <xdr:cNvPr id="397" name="テキスト ボックス 396"/>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4191</xdr:rowOff>
    </xdr:from>
    <xdr:to>
      <xdr:col>21</xdr:col>
      <xdr:colOff>50800</xdr:colOff>
      <xdr:row>37</xdr:row>
      <xdr:rowOff>105791</xdr:rowOff>
    </xdr:to>
    <xdr:sp macro="" textlink="">
      <xdr:nvSpPr>
        <xdr:cNvPr id="398" name="円/楕円 397"/>
        <xdr:cNvSpPr/>
      </xdr:nvSpPr>
      <xdr:spPr>
        <a:xfrm>
          <a:off x="14351000" y="6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115968</xdr:rowOff>
    </xdr:from>
    <xdr:ext cx="762000" cy="259045"/>
    <xdr:sp macro="" textlink="">
      <xdr:nvSpPr>
        <xdr:cNvPr id="399" name="テキスト ボックス 398"/>
        <xdr:cNvSpPr txBox="1"/>
      </xdr:nvSpPr>
      <xdr:spPr>
        <a:xfrm>
          <a:off x="14020800" y="611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400" name="円/楕円 399"/>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401" name="テキスト ボックス 400"/>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２０．９％と類似団体平均を大きく下回っている。今後も合併特例債や学校教育施設等整備事業債等の借入れを予定しているが、将来世代への負担軽減を図り、引き続き適正な地方債管理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0" name="直線コネクタ 429"/>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1"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2" name="直線コネクタ 431"/>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161925</xdr:rowOff>
    </xdr:from>
    <xdr:to>
      <xdr:col>24</xdr:col>
      <xdr:colOff>558800</xdr:colOff>
      <xdr:row>14</xdr:row>
      <xdr:rowOff>12393</xdr:rowOff>
    </xdr:to>
    <xdr:cxnSp macro="">
      <xdr:nvCxnSpPr>
        <xdr:cNvPr id="435" name="直線コネクタ 434"/>
        <xdr:cNvCxnSpPr/>
      </xdr:nvCxnSpPr>
      <xdr:spPr>
        <a:xfrm>
          <a:off x="16179800" y="2390775"/>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36"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37" name="フローチャート : 判断 436"/>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147849</xdr:rowOff>
    </xdr:from>
    <xdr:to>
      <xdr:col>23</xdr:col>
      <xdr:colOff>406400</xdr:colOff>
      <xdr:row>13</xdr:row>
      <xdr:rowOff>161925</xdr:rowOff>
    </xdr:to>
    <xdr:cxnSp macro="">
      <xdr:nvCxnSpPr>
        <xdr:cNvPr id="438" name="直線コネクタ 437"/>
        <xdr:cNvCxnSpPr/>
      </xdr:nvCxnSpPr>
      <xdr:spPr>
        <a:xfrm>
          <a:off x="15290800" y="23766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39" name="フローチャート : 判断 438"/>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0" name="テキスト ボックス 439"/>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147849</xdr:rowOff>
    </xdr:from>
    <xdr:to>
      <xdr:col>22</xdr:col>
      <xdr:colOff>203200</xdr:colOff>
      <xdr:row>13</xdr:row>
      <xdr:rowOff>155892</xdr:rowOff>
    </xdr:to>
    <xdr:cxnSp macro="">
      <xdr:nvCxnSpPr>
        <xdr:cNvPr id="441" name="直線コネクタ 440"/>
        <xdr:cNvCxnSpPr/>
      </xdr:nvCxnSpPr>
      <xdr:spPr>
        <a:xfrm flipV="1">
          <a:off x="14401800" y="23766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2" name="フローチャート : 判断 441"/>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3" name="テキスト ボックス 442"/>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155892</xdr:rowOff>
    </xdr:from>
    <xdr:to>
      <xdr:col>21</xdr:col>
      <xdr:colOff>0</xdr:colOff>
      <xdr:row>13</xdr:row>
      <xdr:rowOff>171376</xdr:rowOff>
    </xdr:to>
    <xdr:cxnSp macro="">
      <xdr:nvCxnSpPr>
        <xdr:cNvPr id="444" name="直線コネクタ 443"/>
        <xdr:cNvCxnSpPr/>
      </xdr:nvCxnSpPr>
      <xdr:spPr>
        <a:xfrm flipV="1">
          <a:off x="13512800" y="2384742"/>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5" name="フローチャート : 判断 444"/>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6" name="テキスト ボックス 445"/>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47" name="フローチャート : 判断 446"/>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48" name="テキスト ボックス 447"/>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133043</xdr:rowOff>
    </xdr:from>
    <xdr:to>
      <xdr:col>24</xdr:col>
      <xdr:colOff>609600</xdr:colOff>
      <xdr:row>14</xdr:row>
      <xdr:rowOff>63193</xdr:rowOff>
    </xdr:to>
    <xdr:sp macro="" textlink="">
      <xdr:nvSpPr>
        <xdr:cNvPr id="454" name="円/楕円 453"/>
        <xdr:cNvSpPr/>
      </xdr:nvSpPr>
      <xdr:spPr>
        <a:xfrm>
          <a:off x="16967200" y="2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54320</xdr:rowOff>
    </xdr:from>
    <xdr:ext cx="762000" cy="259045"/>
    <xdr:sp macro="" textlink="">
      <xdr:nvSpPr>
        <xdr:cNvPr id="455" name="将来負担の状況該当値テキスト"/>
        <xdr:cNvSpPr txBox="1"/>
      </xdr:nvSpPr>
      <xdr:spPr>
        <a:xfrm>
          <a:off x="17106900" y="22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111125</xdr:rowOff>
    </xdr:from>
    <xdr:to>
      <xdr:col>23</xdr:col>
      <xdr:colOff>457200</xdr:colOff>
      <xdr:row>14</xdr:row>
      <xdr:rowOff>41275</xdr:rowOff>
    </xdr:to>
    <xdr:sp macro="" textlink="">
      <xdr:nvSpPr>
        <xdr:cNvPr id="456" name="円/楕円 455"/>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51452</xdr:rowOff>
    </xdr:from>
    <xdr:ext cx="736600" cy="259045"/>
    <xdr:sp macro="" textlink="">
      <xdr:nvSpPr>
        <xdr:cNvPr id="457" name="テキスト ボックス 456"/>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97049</xdr:rowOff>
    </xdr:from>
    <xdr:to>
      <xdr:col>22</xdr:col>
      <xdr:colOff>254000</xdr:colOff>
      <xdr:row>14</xdr:row>
      <xdr:rowOff>27199</xdr:rowOff>
    </xdr:to>
    <xdr:sp macro="" textlink="">
      <xdr:nvSpPr>
        <xdr:cNvPr id="458" name="円/楕円 457"/>
        <xdr:cNvSpPr/>
      </xdr:nvSpPr>
      <xdr:spPr>
        <a:xfrm>
          <a:off x="15240000" y="23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37376</xdr:rowOff>
    </xdr:from>
    <xdr:ext cx="762000" cy="259045"/>
    <xdr:sp macro="" textlink="">
      <xdr:nvSpPr>
        <xdr:cNvPr id="459" name="テキスト ボックス 458"/>
        <xdr:cNvSpPr txBox="1"/>
      </xdr:nvSpPr>
      <xdr:spPr>
        <a:xfrm>
          <a:off x="14909800" y="209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105092</xdr:rowOff>
    </xdr:from>
    <xdr:to>
      <xdr:col>21</xdr:col>
      <xdr:colOff>50800</xdr:colOff>
      <xdr:row>14</xdr:row>
      <xdr:rowOff>35242</xdr:rowOff>
    </xdr:to>
    <xdr:sp macro="" textlink="">
      <xdr:nvSpPr>
        <xdr:cNvPr id="460" name="円/楕円 459"/>
        <xdr:cNvSpPr/>
      </xdr:nvSpPr>
      <xdr:spPr>
        <a:xfrm>
          <a:off x="14351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45419</xdr:rowOff>
    </xdr:from>
    <xdr:ext cx="762000" cy="259045"/>
    <xdr:sp macro="" textlink="">
      <xdr:nvSpPr>
        <xdr:cNvPr id="461" name="テキスト ボックス 460"/>
        <xdr:cNvSpPr txBox="1"/>
      </xdr:nvSpPr>
      <xdr:spPr>
        <a:xfrm>
          <a:off x="14020800" y="21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120576</xdr:rowOff>
    </xdr:from>
    <xdr:to>
      <xdr:col>19</xdr:col>
      <xdr:colOff>533400</xdr:colOff>
      <xdr:row>14</xdr:row>
      <xdr:rowOff>50726</xdr:rowOff>
    </xdr:to>
    <xdr:sp macro="" textlink="">
      <xdr:nvSpPr>
        <xdr:cNvPr id="462" name="円/楕円 461"/>
        <xdr:cNvSpPr/>
      </xdr:nvSpPr>
      <xdr:spPr>
        <a:xfrm>
          <a:off x="13462000" y="23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60903</xdr:rowOff>
    </xdr:from>
    <xdr:ext cx="762000" cy="259045"/>
    <xdr:sp macro="" textlink="">
      <xdr:nvSpPr>
        <xdr:cNvPr id="463" name="テキスト ボックス 462"/>
        <xdr:cNvSpPr txBox="1"/>
      </xdr:nvSpPr>
      <xdr:spPr>
        <a:xfrm>
          <a:off x="13131800" y="211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岐阜県本巣市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35,405
34,986
374.65
16,906,711
15,970,581
832,412
10,841,503
16,009,787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要因としては、主にゴミ処理業務や消防業務を一部事務組合で行っていることや、各種施設について指定管理者制度を活用していることなどによるものである。今後も本巣市定員適正化計画により、定員管理・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157480</xdr:rowOff>
    </xdr:to>
    <xdr:cxnSp macro="">
      <xdr:nvCxnSpPr>
        <xdr:cNvPr id="64" name="直線コネクタ 63"/>
        <xdr:cNvCxnSpPr/>
      </xdr:nvCxnSpPr>
      <xdr:spPr>
        <a:xfrm>
          <a:off x="3987800" y="5880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104140</xdr:rowOff>
    </xdr:to>
    <xdr:cxnSp macro="">
      <xdr:nvCxnSpPr>
        <xdr:cNvPr id="67" name="直線コネクタ 66"/>
        <xdr:cNvCxnSpPr/>
      </xdr:nvCxnSpPr>
      <xdr:spPr>
        <a:xfrm flipV="1">
          <a:off x="3098800" y="588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35</xdr:row>
      <xdr:rowOff>39370</xdr:rowOff>
    </xdr:to>
    <xdr:cxnSp macro="">
      <xdr:nvCxnSpPr>
        <xdr:cNvPr id="70" name="直線コネクタ 69"/>
        <xdr:cNvCxnSpPr/>
      </xdr:nvCxnSpPr>
      <xdr:spPr>
        <a:xfrm flipV="1">
          <a:off x="2209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39370</xdr:rowOff>
    </xdr:to>
    <xdr:cxnSp macro="">
      <xdr:nvCxnSpPr>
        <xdr:cNvPr id="73" name="直線コネクタ 72"/>
        <xdr:cNvCxnSpPr/>
      </xdr:nvCxnSpPr>
      <xdr:spPr>
        <a:xfrm>
          <a:off x="1320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3" name="円/楕円 82"/>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4"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5" name="円/楕円 84"/>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6" name="テキスト ボックス 85"/>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7" name="円/楕円 86"/>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88" name="テキスト ボックス 87"/>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89" name="円/楕円 88"/>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0" name="テキスト ボックス 89"/>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1" name="円/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物件費に係る経常収支比率が高くなっているのは、主に「市域が南北に長い地理的要因」により、合併後も各種公共施設を多く配置しており、施設を維持するための経費が増加していることや、指定管理者制度の活用により、人件費から物件費（委託料）へシフトしていることが主な要因である。今後は事務事業評価により「抜本的な事業のあり方」等を検証するとともに、既存施設の統廃合等を進め物件費の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64407</xdr:rowOff>
    </xdr:from>
    <xdr:to>
      <xdr:col>24</xdr:col>
      <xdr:colOff>31750</xdr:colOff>
      <xdr:row>21</xdr:row>
      <xdr:rowOff>4536</xdr:rowOff>
    </xdr:to>
    <xdr:cxnSp macro="">
      <xdr:nvCxnSpPr>
        <xdr:cNvPr id="127" name="直線コネクタ 126"/>
        <xdr:cNvCxnSpPr/>
      </xdr:nvCxnSpPr>
      <xdr:spPr>
        <a:xfrm>
          <a:off x="15671800" y="3321957"/>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53522</xdr:rowOff>
    </xdr:from>
    <xdr:to>
      <xdr:col>22</xdr:col>
      <xdr:colOff>565150</xdr:colOff>
      <xdr:row>19</xdr:row>
      <xdr:rowOff>64407</xdr:rowOff>
    </xdr:to>
    <xdr:cxnSp macro="">
      <xdr:nvCxnSpPr>
        <xdr:cNvPr id="130" name="直線コネクタ 129"/>
        <xdr:cNvCxnSpPr/>
      </xdr:nvCxnSpPr>
      <xdr:spPr>
        <a:xfrm>
          <a:off x="14782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53522</xdr:rowOff>
    </xdr:from>
    <xdr:to>
      <xdr:col>21</xdr:col>
      <xdr:colOff>361950</xdr:colOff>
      <xdr:row>19</xdr:row>
      <xdr:rowOff>64407</xdr:rowOff>
    </xdr:to>
    <xdr:cxnSp macro="">
      <xdr:nvCxnSpPr>
        <xdr:cNvPr id="133" name="直線コネクタ 132"/>
        <xdr:cNvCxnSpPr/>
      </xdr:nvCxnSpPr>
      <xdr:spPr>
        <a:xfrm flipV="1">
          <a:off x="13893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19</xdr:row>
      <xdr:rowOff>64407</xdr:rowOff>
    </xdr:to>
    <xdr:cxnSp macro="">
      <xdr:nvCxnSpPr>
        <xdr:cNvPr id="136" name="直線コネクタ 135"/>
        <xdr:cNvCxnSpPr/>
      </xdr:nvCxnSpPr>
      <xdr:spPr>
        <a:xfrm>
          <a:off x="13004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125186</xdr:rowOff>
    </xdr:from>
    <xdr:to>
      <xdr:col>24</xdr:col>
      <xdr:colOff>82550</xdr:colOff>
      <xdr:row>21</xdr:row>
      <xdr:rowOff>55336</xdr:rowOff>
    </xdr:to>
    <xdr:sp macro="" textlink="">
      <xdr:nvSpPr>
        <xdr:cNvPr id="146" name="円/楕円 145"/>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33763</xdr:rowOff>
    </xdr:from>
    <xdr:ext cx="762000" cy="259045"/>
    <xdr:sp macro="" textlink="">
      <xdr:nvSpPr>
        <xdr:cNvPr id="147" name="物件費該当値テキスト"/>
        <xdr:cNvSpPr txBox="1"/>
      </xdr:nvSpPr>
      <xdr:spPr>
        <a:xfrm>
          <a:off x="16598900" y="3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13607</xdr:rowOff>
    </xdr:from>
    <xdr:to>
      <xdr:col>22</xdr:col>
      <xdr:colOff>615950</xdr:colOff>
      <xdr:row>19</xdr:row>
      <xdr:rowOff>115207</xdr:rowOff>
    </xdr:to>
    <xdr:sp macro="" textlink="">
      <xdr:nvSpPr>
        <xdr:cNvPr id="148" name="円/楕円 147"/>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99984</xdr:rowOff>
    </xdr:from>
    <xdr:ext cx="736600" cy="259045"/>
    <xdr:sp macro="" textlink="">
      <xdr:nvSpPr>
        <xdr:cNvPr id="149" name="テキスト ボックス 148"/>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2722</xdr:rowOff>
    </xdr:from>
    <xdr:to>
      <xdr:col>21</xdr:col>
      <xdr:colOff>412750</xdr:colOff>
      <xdr:row>19</xdr:row>
      <xdr:rowOff>104322</xdr:rowOff>
    </xdr:to>
    <xdr:sp macro="" textlink="">
      <xdr:nvSpPr>
        <xdr:cNvPr id="150" name="円/楕円 149"/>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89099</xdr:rowOff>
    </xdr:from>
    <xdr:ext cx="762000" cy="259045"/>
    <xdr:sp macro="" textlink="">
      <xdr:nvSpPr>
        <xdr:cNvPr id="151" name="テキスト ボックス 150"/>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13607</xdr:rowOff>
    </xdr:from>
    <xdr:to>
      <xdr:col>20</xdr:col>
      <xdr:colOff>209550</xdr:colOff>
      <xdr:row>19</xdr:row>
      <xdr:rowOff>115207</xdr:rowOff>
    </xdr:to>
    <xdr:sp macro="" textlink="">
      <xdr:nvSpPr>
        <xdr:cNvPr id="152" name="円/楕円 151"/>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99984</xdr:rowOff>
    </xdr:from>
    <xdr:ext cx="762000" cy="259045"/>
    <xdr:sp macro="" textlink="">
      <xdr:nvSpPr>
        <xdr:cNvPr id="153" name="テキスト ボックス 152"/>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54" name="円/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扶助費に係る経常収支比率は低くなっており、前年度より０．２％増加したが、平成２１年度から実施している義務教育終了時までの医療費無料化等により年々上昇傾向にある。今後も少子高齢化による社会保障関係費の増加等、扶助費は増加する傾向に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54</xdr:row>
      <xdr:rowOff>170543</xdr:rowOff>
    </xdr:to>
    <xdr:cxnSp macro="">
      <xdr:nvCxnSpPr>
        <xdr:cNvPr id="190" name="直線コネクタ 189"/>
        <xdr:cNvCxnSpPr/>
      </xdr:nvCxnSpPr>
      <xdr:spPr>
        <a:xfrm>
          <a:off x="3987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54</xdr:row>
      <xdr:rowOff>170543</xdr:rowOff>
    </xdr:to>
    <xdr:cxnSp macro="">
      <xdr:nvCxnSpPr>
        <xdr:cNvPr id="193" name="直線コネクタ 192"/>
        <xdr:cNvCxnSpPr/>
      </xdr:nvCxnSpPr>
      <xdr:spPr>
        <a:xfrm flipV="1">
          <a:off x="3098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170543</xdr:rowOff>
    </xdr:to>
    <xdr:cxnSp macro="">
      <xdr:nvCxnSpPr>
        <xdr:cNvPr id="196" name="直線コネクタ 195"/>
        <xdr:cNvCxnSpPr/>
      </xdr:nvCxnSpPr>
      <xdr:spPr>
        <a:xfrm>
          <a:off x="2209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116115</xdr:rowOff>
    </xdr:to>
    <xdr:cxnSp macro="">
      <xdr:nvCxnSpPr>
        <xdr:cNvPr id="199" name="直線コネクタ 198"/>
        <xdr:cNvCxnSpPr/>
      </xdr:nvCxnSpPr>
      <xdr:spPr>
        <a:xfrm>
          <a:off x="1320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1" name="円/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類似団体平均と比較すると、その他（主に繰出金）に係る経常収支比率は低くなっているが、今後も引き続き下水道事業などの公営企業会計への基準外繰出の抑制に努める。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149860</xdr:rowOff>
    </xdr:to>
    <xdr:cxnSp macro="">
      <xdr:nvCxnSpPr>
        <xdr:cNvPr id="251" name="直線コネクタ 250"/>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104140</xdr:rowOff>
    </xdr:to>
    <xdr:cxnSp macro="">
      <xdr:nvCxnSpPr>
        <xdr:cNvPr id="254" name="直線コネクタ 253"/>
        <xdr:cNvCxnSpPr/>
      </xdr:nvCxnSpPr>
      <xdr:spPr>
        <a:xfrm>
          <a:off x="14782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7" name="直線コネクタ 256"/>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60" name="直線コネクタ 259"/>
        <xdr:cNvCxnSpPr/>
      </xdr:nvCxnSpPr>
      <xdr:spPr>
        <a:xfrm>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類似団体平均以下であった、補助費等に係る経常収支比率が平均を上回ることとなった。これは、主にゴミ処理業務や消防業務を一部事務組合で行っていることや、合併調整等により、各種団体への補助金について合併前のまま継続し行っていることなどが要因である。各種団体への補助金については定期的な見直しなどにより、整理合理化や補助基準の適正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100330</xdr:rowOff>
    </xdr:to>
    <xdr:cxnSp macro="">
      <xdr:nvCxnSpPr>
        <xdr:cNvPr id="311" name="直線コネクタ 310"/>
        <xdr:cNvCxnSpPr/>
      </xdr:nvCxnSpPr>
      <xdr:spPr>
        <a:xfrm>
          <a:off x="15671800" y="606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xdr:rowOff>
    </xdr:from>
    <xdr:to>
      <xdr:col>22</xdr:col>
      <xdr:colOff>565150</xdr:colOff>
      <xdr:row>35</xdr:row>
      <xdr:rowOff>62230</xdr:rowOff>
    </xdr:to>
    <xdr:cxnSp macro="">
      <xdr:nvCxnSpPr>
        <xdr:cNvPr id="314" name="直線コネクタ 313"/>
        <xdr:cNvCxnSpPr/>
      </xdr:nvCxnSpPr>
      <xdr:spPr>
        <a:xfrm>
          <a:off x="14782800" y="6013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xdr:rowOff>
    </xdr:from>
    <xdr:to>
      <xdr:col>21</xdr:col>
      <xdr:colOff>361950</xdr:colOff>
      <xdr:row>35</xdr:row>
      <xdr:rowOff>54610</xdr:rowOff>
    </xdr:to>
    <xdr:cxnSp macro="">
      <xdr:nvCxnSpPr>
        <xdr:cNvPr id="317" name="直線コネクタ 316"/>
        <xdr:cNvCxnSpPr/>
      </xdr:nvCxnSpPr>
      <xdr:spPr>
        <a:xfrm flipV="1">
          <a:off x="13893800" y="6013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54610</xdr:rowOff>
    </xdr:from>
    <xdr:to>
      <xdr:col>20</xdr:col>
      <xdr:colOff>158750</xdr:colOff>
      <xdr:row>35</xdr:row>
      <xdr:rowOff>100330</xdr:rowOff>
    </xdr:to>
    <xdr:cxnSp macro="">
      <xdr:nvCxnSpPr>
        <xdr:cNvPr id="320" name="直線コネクタ 319"/>
        <xdr:cNvCxnSpPr/>
      </xdr:nvCxnSpPr>
      <xdr:spPr>
        <a:xfrm flipV="1">
          <a:off x="13004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0" name="円/楕円 329"/>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21607</xdr:rowOff>
    </xdr:from>
    <xdr:ext cx="762000" cy="259045"/>
    <xdr:sp macro="" textlink="">
      <xdr:nvSpPr>
        <xdr:cNvPr id="331" name="補助費等該当値テキスト"/>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2" name="円/楕円 331"/>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33" name="テキスト ボックス 332"/>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133350</xdr:rowOff>
    </xdr:from>
    <xdr:to>
      <xdr:col>21</xdr:col>
      <xdr:colOff>412750</xdr:colOff>
      <xdr:row>35</xdr:row>
      <xdr:rowOff>63500</xdr:rowOff>
    </xdr:to>
    <xdr:sp macro="" textlink="">
      <xdr:nvSpPr>
        <xdr:cNvPr id="334" name="円/楕円 333"/>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73677</xdr:rowOff>
    </xdr:from>
    <xdr:ext cx="762000" cy="259045"/>
    <xdr:sp macro="" textlink="">
      <xdr:nvSpPr>
        <xdr:cNvPr id="335" name="テキスト ボックス 334"/>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xdr:rowOff>
    </xdr:from>
    <xdr:to>
      <xdr:col>20</xdr:col>
      <xdr:colOff>209550</xdr:colOff>
      <xdr:row>35</xdr:row>
      <xdr:rowOff>105410</xdr:rowOff>
    </xdr:to>
    <xdr:sp macro="" textlink="">
      <xdr:nvSpPr>
        <xdr:cNvPr id="336" name="円/楕円 335"/>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115587</xdr:rowOff>
    </xdr:from>
    <xdr:ext cx="762000" cy="259045"/>
    <xdr:sp macro="" textlink="">
      <xdr:nvSpPr>
        <xdr:cNvPr id="337" name="テキスト ボックス 336"/>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135907</xdr:rowOff>
    </xdr:from>
    <xdr:ext cx="762000" cy="259045"/>
    <xdr:sp macro="" textlink="">
      <xdr:nvSpPr>
        <xdr:cNvPr id="339" name="テキスト ボックス 338"/>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類似団体平均と比較すると、公債費に係る経常収支比率は低くなっている。今後も、後年度の財政負担とならないよう、起債の新規発行については適正化を図る。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167005</xdr:rowOff>
    </xdr:from>
    <xdr:to>
      <xdr:col>7</xdr:col>
      <xdr:colOff>15875</xdr:colOff>
      <xdr:row>74</xdr:row>
      <xdr:rowOff>6985</xdr:rowOff>
    </xdr:to>
    <xdr:cxnSp macro="">
      <xdr:nvCxnSpPr>
        <xdr:cNvPr id="371" name="直線コネクタ 370"/>
        <xdr:cNvCxnSpPr/>
      </xdr:nvCxnSpPr>
      <xdr:spPr>
        <a:xfrm>
          <a:off x="3987800" y="12682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167005</xdr:rowOff>
    </xdr:from>
    <xdr:to>
      <xdr:col>5</xdr:col>
      <xdr:colOff>549275</xdr:colOff>
      <xdr:row>74</xdr:row>
      <xdr:rowOff>1270</xdr:rowOff>
    </xdr:to>
    <xdr:cxnSp macro="">
      <xdr:nvCxnSpPr>
        <xdr:cNvPr id="374" name="直線コネクタ 373"/>
        <xdr:cNvCxnSpPr/>
      </xdr:nvCxnSpPr>
      <xdr:spPr>
        <a:xfrm flipV="1">
          <a:off x="3098800" y="12682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xdr:rowOff>
    </xdr:from>
    <xdr:to>
      <xdr:col>4</xdr:col>
      <xdr:colOff>346075</xdr:colOff>
      <xdr:row>74</xdr:row>
      <xdr:rowOff>8890</xdr:rowOff>
    </xdr:to>
    <xdr:cxnSp macro="">
      <xdr:nvCxnSpPr>
        <xdr:cNvPr id="377" name="直線コネクタ 376"/>
        <xdr:cNvCxnSpPr/>
      </xdr:nvCxnSpPr>
      <xdr:spPr>
        <a:xfrm flipV="1">
          <a:off x="2209800" y="1268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6985</xdr:rowOff>
    </xdr:from>
    <xdr:to>
      <xdr:col>3</xdr:col>
      <xdr:colOff>142875</xdr:colOff>
      <xdr:row>74</xdr:row>
      <xdr:rowOff>8890</xdr:rowOff>
    </xdr:to>
    <xdr:cxnSp macro="">
      <xdr:nvCxnSpPr>
        <xdr:cNvPr id="380" name="直線コネクタ 379"/>
        <xdr:cNvCxnSpPr/>
      </xdr:nvCxnSpPr>
      <xdr:spPr>
        <a:xfrm>
          <a:off x="1320800" y="12694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127635</xdr:rowOff>
    </xdr:from>
    <xdr:to>
      <xdr:col>7</xdr:col>
      <xdr:colOff>66675</xdr:colOff>
      <xdr:row>74</xdr:row>
      <xdr:rowOff>57785</xdr:rowOff>
    </xdr:to>
    <xdr:sp macro="" textlink="">
      <xdr:nvSpPr>
        <xdr:cNvPr id="390" name="円/楕円 389"/>
        <xdr:cNvSpPr/>
      </xdr:nvSpPr>
      <xdr:spPr>
        <a:xfrm>
          <a:off x="47752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36212</xdr:rowOff>
    </xdr:from>
    <xdr:ext cx="762000" cy="259045"/>
    <xdr:sp macro="" textlink="">
      <xdr:nvSpPr>
        <xdr:cNvPr id="391" name="公債費該当値テキスト"/>
        <xdr:cNvSpPr txBox="1"/>
      </xdr:nvSpPr>
      <xdr:spPr>
        <a:xfrm>
          <a:off x="4914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116205</xdr:rowOff>
    </xdr:from>
    <xdr:to>
      <xdr:col>5</xdr:col>
      <xdr:colOff>600075</xdr:colOff>
      <xdr:row>74</xdr:row>
      <xdr:rowOff>46355</xdr:rowOff>
    </xdr:to>
    <xdr:sp macro="" textlink="">
      <xdr:nvSpPr>
        <xdr:cNvPr id="392" name="円/楕円 391"/>
        <xdr:cNvSpPr/>
      </xdr:nvSpPr>
      <xdr:spPr>
        <a:xfrm>
          <a:off x="3937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56532</xdr:rowOff>
    </xdr:from>
    <xdr:ext cx="736600" cy="259045"/>
    <xdr:sp macro="" textlink="">
      <xdr:nvSpPr>
        <xdr:cNvPr id="393" name="テキスト ボックス 392"/>
        <xdr:cNvSpPr txBox="1"/>
      </xdr:nvSpPr>
      <xdr:spPr>
        <a:xfrm>
          <a:off x="3606800" y="1240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121920</xdr:rowOff>
    </xdr:from>
    <xdr:to>
      <xdr:col>4</xdr:col>
      <xdr:colOff>396875</xdr:colOff>
      <xdr:row>74</xdr:row>
      <xdr:rowOff>52070</xdr:rowOff>
    </xdr:to>
    <xdr:sp macro="" textlink="">
      <xdr:nvSpPr>
        <xdr:cNvPr id="394" name="円/楕円 393"/>
        <xdr:cNvSpPr/>
      </xdr:nvSpPr>
      <xdr:spPr>
        <a:xfrm>
          <a:off x="3048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62247</xdr:rowOff>
    </xdr:from>
    <xdr:ext cx="762000" cy="259045"/>
    <xdr:sp macro="" textlink="">
      <xdr:nvSpPr>
        <xdr:cNvPr id="395" name="テキスト ボックス 394"/>
        <xdr:cNvSpPr txBox="1"/>
      </xdr:nvSpPr>
      <xdr:spPr>
        <a:xfrm>
          <a:off x="2717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129540</xdr:rowOff>
    </xdr:from>
    <xdr:to>
      <xdr:col>3</xdr:col>
      <xdr:colOff>193675</xdr:colOff>
      <xdr:row>74</xdr:row>
      <xdr:rowOff>59690</xdr:rowOff>
    </xdr:to>
    <xdr:sp macro="" textlink="">
      <xdr:nvSpPr>
        <xdr:cNvPr id="396" name="円/楕円 395"/>
        <xdr:cNvSpPr/>
      </xdr:nvSpPr>
      <xdr:spPr>
        <a:xfrm>
          <a:off x="2159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69867</xdr:rowOff>
    </xdr:from>
    <xdr:ext cx="762000" cy="259045"/>
    <xdr:sp macro="" textlink="">
      <xdr:nvSpPr>
        <xdr:cNvPr id="397" name="テキスト ボックス 396"/>
        <xdr:cNvSpPr txBox="1"/>
      </xdr:nvSpPr>
      <xdr:spPr>
        <a:xfrm>
          <a:off x="1828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127635</xdr:rowOff>
    </xdr:from>
    <xdr:to>
      <xdr:col>1</xdr:col>
      <xdr:colOff>676275</xdr:colOff>
      <xdr:row>74</xdr:row>
      <xdr:rowOff>57785</xdr:rowOff>
    </xdr:to>
    <xdr:sp macro="" textlink="">
      <xdr:nvSpPr>
        <xdr:cNvPr id="398" name="円/楕円 397"/>
        <xdr:cNvSpPr/>
      </xdr:nvSpPr>
      <xdr:spPr>
        <a:xfrm>
          <a:off x="1270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67962</xdr:rowOff>
    </xdr:from>
    <xdr:ext cx="762000" cy="259045"/>
    <xdr:sp macro="" textlink="">
      <xdr:nvSpPr>
        <xdr:cNvPr id="399" name="テキスト ボックス 398"/>
        <xdr:cNvSpPr txBox="1"/>
      </xdr:nvSpPr>
      <xdr:spPr>
        <a:xfrm>
          <a:off x="939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以下であった、公債費以外に係る経常収支比率が平均を上回ることとなった。これは人件費や扶助費の比率は低いものの、物件費が高くなっていることが主な要因となっている。今後は物件費の比率を下げるため、事務事業の見直しや既存施設の統廃合を進め行政コストの縮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77</xdr:row>
      <xdr:rowOff>104139</xdr:rowOff>
    </xdr:to>
    <xdr:cxnSp macro="">
      <xdr:nvCxnSpPr>
        <xdr:cNvPr id="432" name="直線コネクタ 431"/>
        <xdr:cNvCxnSpPr/>
      </xdr:nvCxnSpPr>
      <xdr:spPr>
        <a:xfrm>
          <a:off x="15671800" y="1308481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54611</xdr:rowOff>
    </xdr:to>
    <xdr:cxnSp macro="">
      <xdr:nvCxnSpPr>
        <xdr:cNvPr id="435" name="直線コネクタ 434"/>
        <xdr:cNvCxnSpPr/>
      </xdr:nvCxnSpPr>
      <xdr:spPr>
        <a:xfrm>
          <a:off x="14782800" y="13050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96520</xdr:rowOff>
    </xdr:to>
    <xdr:cxnSp macro="">
      <xdr:nvCxnSpPr>
        <xdr:cNvPr id="438" name="直線コネクタ 437"/>
        <xdr:cNvCxnSpPr/>
      </xdr:nvCxnSpPr>
      <xdr:spPr>
        <a:xfrm flipV="1">
          <a:off x="13893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100330</xdr:rowOff>
    </xdr:to>
    <xdr:cxnSp macro="">
      <xdr:nvCxnSpPr>
        <xdr:cNvPr id="441" name="直線コネクタ 440"/>
        <xdr:cNvCxnSpPr/>
      </xdr:nvCxnSpPr>
      <xdr:spPr>
        <a:xfrm flipV="1">
          <a:off x="13004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51" name="円/楕円 45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52"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53" name="円/楕円 452"/>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115587</xdr:rowOff>
    </xdr:from>
    <xdr:ext cx="736600" cy="259045"/>
    <xdr:sp macro="" textlink="">
      <xdr:nvSpPr>
        <xdr:cNvPr id="454" name="テキスト ボックス 453"/>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5" name="円/楕円 454"/>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6" name="テキスト ボックス 455"/>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7" name="円/楕円 456"/>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8" name="テキスト ボックス 45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9" name="円/楕円 458"/>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60" name="テキスト ボックス 459"/>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岐阜県本巣市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43155</xdr:rowOff>
    </xdr:from>
    <xdr:to>
      <xdr:col>4</xdr:col>
      <xdr:colOff>1117600</xdr:colOff>
      <xdr:row>18</xdr:row>
      <xdr:rowOff>142926</xdr:rowOff>
    </xdr:to>
    <xdr:cxnSp macro="">
      <xdr:nvCxnSpPr>
        <xdr:cNvPr id="50" name="直線コネクタ 49"/>
        <xdr:cNvCxnSpPr/>
      </xdr:nvCxnSpPr>
      <xdr:spPr bwMode="auto">
        <a:xfrm flipV="1">
          <a:off x="5003800" y="3176880"/>
          <a:ext cx="647700" cy="9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142926</xdr:rowOff>
    </xdr:from>
    <xdr:to>
      <xdr:col>4</xdr:col>
      <xdr:colOff>469900</xdr:colOff>
      <xdr:row>19</xdr:row>
      <xdr:rowOff>9512</xdr:rowOff>
    </xdr:to>
    <xdr:cxnSp macro="">
      <xdr:nvCxnSpPr>
        <xdr:cNvPr id="53" name="直線コネクタ 52"/>
        <xdr:cNvCxnSpPr/>
      </xdr:nvCxnSpPr>
      <xdr:spPr bwMode="auto">
        <a:xfrm flipV="1">
          <a:off x="4305300" y="3276651"/>
          <a:ext cx="698500" cy="3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88595</xdr:rowOff>
    </xdr:from>
    <xdr:to>
      <xdr:col>3</xdr:col>
      <xdr:colOff>904875</xdr:colOff>
      <xdr:row>19</xdr:row>
      <xdr:rowOff>9512</xdr:rowOff>
    </xdr:to>
    <xdr:cxnSp macro="">
      <xdr:nvCxnSpPr>
        <xdr:cNvPr id="56" name="直線コネクタ 55"/>
        <xdr:cNvCxnSpPr/>
      </xdr:nvCxnSpPr>
      <xdr:spPr bwMode="auto">
        <a:xfrm>
          <a:off x="3606800" y="3222320"/>
          <a:ext cx="698500" cy="9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88595</xdr:rowOff>
    </xdr:from>
    <xdr:to>
      <xdr:col>3</xdr:col>
      <xdr:colOff>206375</xdr:colOff>
      <xdr:row>18</xdr:row>
      <xdr:rowOff>99073</xdr:rowOff>
    </xdr:to>
    <xdr:cxnSp macro="">
      <xdr:nvCxnSpPr>
        <xdr:cNvPr id="59" name="直線コネクタ 58"/>
        <xdr:cNvCxnSpPr/>
      </xdr:nvCxnSpPr>
      <xdr:spPr bwMode="auto">
        <a:xfrm flipV="1">
          <a:off x="2908300" y="322232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163805</xdr:rowOff>
    </xdr:from>
    <xdr:to>
      <xdr:col>5</xdr:col>
      <xdr:colOff>34925</xdr:colOff>
      <xdr:row>18</xdr:row>
      <xdr:rowOff>93955</xdr:rowOff>
    </xdr:to>
    <xdr:sp macro="" textlink="">
      <xdr:nvSpPr>
        <xdr:cNvPr id="69" name="円/楕円 68"/>
        <xdr:cNvSpPr/>
      </xdr:nvSpPr>
      <xdr:spPr bwMode="auto">
        <a:xfrm>
          <a:off x="5600700" y="312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135882</xdr:rowOff>
    </xdr:from>
    <xdr:ext cx="762000" cy="259045"/>
    <xdr:sp macro="" textlink="">
      <xdr:nvSpPr>
        <xdr:cNvPr id="70" name="人口1人当たり決算額の推移該当値テキスト130"/>
        <xdr:cNvSpPr txBox="1"/>
      </xdr:nvSpPr>
      <xdr:spPr>
        <a:xfrm>
          <a:off x="5740400" y="30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92126</xdr:rowOff>
    </xdr:from>
    <xdr:to>
      <xdr:col>4</xdr:col>
      <xdr:colOff>520700</xdr:colOff>
      <xdr:row>19</xdr:row>
      <xdr:rowOff>22276</xdr:rowOff>
    </xdr:to>
    <xdr:sp macro="" textlink="">
      <xdr:nvSpPr>
        <xdr:cNvPr id="71" name="円/楕円 70"/>
        <xdr:cNvSpPr/>
      </xdr:nvSpPr>
      <xdr:spPr bwMode="auto">
        <a:xfrm>
          <a:off x="4953000" y="322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7053</xdr:rowOff>
    </xdr:from>
    <xdr:ext cx="736600" cy="259045"/>
    <xdr:sp macro="" textlink="">
      <xdr:nvSpPr>
        <xdr:cNvPr id="72" name="テキスト ボックス 71"/>
        <xdr:cNvSpPr txBox="1"/>
      </xdr:nvSpPr>
      <xdr:spPr>
        <a:xfrm>
          <a:off x="4622800" y="331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130162</xdr:rowOff>
    </xdr:from>
    <xdr:to>
      <xdr:col>3</xdr:col>
      <xdr:colOff>955675</xdr:colOff>
      <xdr:row>19</xdr:row>
      <xdr:rowOff>60312</xdr:rowOff>
    </xdr:to>
    <xdr:sp macro="" textlink="">
      <xdr:nvSpPr>
        <xdr:cNvPr id="73" name="円/楕円 72"/>
        <xdr:cNvSpPr/>
      </xdr:nvSpPr>
      <xdr:spPr bwMode="auto">
        <a:xfrm>
          <a:off x="4254500" y="326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45089</xdr:rowOff>
    </xdr:from>
    <xdr:ext cx="762000" cy="259045"/>
    <xdr:sp macro="" textlink="">
      <xdr:nvSpPr>
        <xdr:cNvPr id="74" name="テキスト ボックス 73"/>
        <xdr:cNvSpPr txBox="1"/>
      </xdr:nvSpPr>
      <xdr:spPr>
        <a:xfrm>
          <a:off x="3924300" y="335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37795</xdr:rowOff>
    </xdr:from>
    <xdr:to>
      <xdr:col>3</xdr:col>
      <xdr:colOff>257175</xdr:colOff>
      <xdr:row>18</xdr:row>
      <xdr:rowOff>139395</xdr:rowOff>
    </xdr:to>
    <xdr:sp macro="" textlink="">
      <xdr:nvSpPr>
        <xdr:cNvPr id="75" name="円/楕円 74"/>
        <xdr:cNvSpPr/>
      </xdr:nvSpPr>
      <xdr:spPr bwMode="auto">
        <a:xfrm>
          <a:off x="3556000" y="317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124172</xdr:rowOff>
    </xdr:from>
    <xdr:ext cx="762000" cy="259045"/>
    <xdr:sp macro="" textlink="">
      <xdr:nvSpPr>
        <xdr:cNvPr id="76" name="テキスト ボックス 75"/>
        <xdr:cNvSpPr txBox="1"/>
      </xdr:nvSpPr>
      <xdr:spPr>
        <a:xfrm>
          <a:off x="3225800" y="325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48273</xdr:rowOff>
    </xdr:from>
    <xdr:to>
      <xdr:col>2</xdr:col>
      <xdr:colOff>692150</xdr:colOff>
      <xdr:row>18</xdr:row>
      <xdr:rowOff>149873</xdr:rowOff>
    </xdr:to>
    <xdr:sp macro="" textlink="">
      <xdr:nvSpPr>
        <xdr:cNvPr id="77" name="円/楕円 76"/>
        <xdr:cNvSpPr/>
      </xdr:nvSpPr>
      <xdr:spPr bwMode="auto">
        <a:xfrm>
          <a:off x="2857500" y="318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134650</xdr:rowOff>
    </xdr:from>
    <xdr:ext cx="762000" cy="259045"/>
    <xdr:sp macro="" textlink="">
      <xdr:nvSpPr>
        <xdr:cNvPr id="78" name="テキスト ボックス 77"/>
        <xdr:cNvSpPr txBox="1"/>
      </xdr:nvSpPr>
      <xdr:spPr>
        <a:xfrm>
          <a:off x="2527300" y="32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45165</xdr:rowOff>
    </xdr:from>
    <xdr:to>
      <xdr:col>4</xdr:col>
      <xdr:colOff>1117600</xdr:colOff>
      <xdr:row>38</xdr:row>
      <xdr:rowOff>51357</xdr:rowOff>
    </xdr:to>
    <xdr:cxnSp macro="">
      <xdr:nvCxnSpPr>
        <xdr:cNvPr id="112" name="直線コネクタ 111"/>
        <xdr:cNvCxnSpPr/>
      </xdr:nvCxnSpPr>
      <xdr:spPr bwMode="auto">
        <a:xfrm>
          <a:off x="5003800" y="7512765"/>
          <a:ext cx="6477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45165</xdr:rowOff>
    </xdr:from>
    <xdr:to>
      <xdr:col>4</xdr:col>
      <xdr:colOff>469900</xdr:colOff>
      <xdr:row>38</xdr:row>
      <xdr:rowOff>45717</xdr:rowOff>
    </xdr:to>
    <xdr:cxnSp macro="">
      <xdr:nvCxnSpPr>
        <xdr:cNvPr id="115" name="直線コネクタ 114"/>
        <xdr:cNvCxnSpPr/>
      </xdr:nvCxnSpPr>
      <xdr:spPr bwMode="auto">
        <a:xfrm flipV="1">
          <a:off x="4305300" y="7512765"/>
          <a:ext cx="6985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45656</xdr:rowOff>
    </xdr:from>
    <xdr:to>
      <xdr:col>3</xdr:col>
      <xdr:colOff>904875</xdr:colOff>
      <xdr:row>38</xdr:row>
      <xdr:rowOff>45717</xdr:rowOff>
    </xdr:to>
    <xdr:cxnSp macro="">
      <xdr:nvCxnSpPr>
        <xdr:cNvPr id="118" name="直線コネクタ 117"/>
        <xdr:cNvCxnSpPr/>
      </xdr:nvCxnSpPr>
      <xdr:spPr bwMode="auto">
        <a:xfrm>
          <a:off x="3606800" y="7513256"/>
          <a:ext cx="698500" cy="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36219</xdr:rowOff>
    </xdr:from>
    <xdr:to>
      <xdr:col>3</xdr:col>
      <xdr:colOff>206375</xdr:colOff>
      <xdr:row>38</xdr:row>
      <xdr:rowOff>45656</xdr:rowOff>
    </xdr:to>
    <xdr:cxnSp macro="">
      <xdr:nvCxnSpPr>
        <xdr:cNvPr id="121" name="直線コネクタ 120"/>
        <xdr:cNvCxnSpPr/>
      </xdr:nvCxnSpPr>
      <xdr:spPr bwMode="auto">
        <a:xfrm>
          <a:off x="2908300" y="7503819"/>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557</xdr:rowOff>
    </xdr:from>
    <xdr:to>
      <xdr:col>5</xdr:col>
      <xdr:colOff>34925</xdr:colOff>
      <xdr:row>38</xdr:row>
      <xdr:rowOff>102157</xdr:rowOff>
    </xdr:to>
    <xdr:sp macro="" textlink="">
      <xdr:nvSpPr>
        <xdr:cNvPr id="131" name="円/楕円 130"/>
        <xdr:cNvSpPr/>
      </xdr:nvSpPr>
      <xdr:spPr bwMode="auto">
        <a:xfrm>
          <a:off x="5600700" y="746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252034</xdr:rowOff>
    </xdr:from>
    <xdr:ext cx="762000" cy="259045"/>
    <xdr:sp macro="" textlink="">
      <xdr:nvSpPr>
        <xdr:cNvPr id="132" name="人口1人当たり決算額の推移該当値テキスト445"/>
        <xdr:cNvSpPr txBox="1"/>
      </xdr:nvSpPr>
      <xdr:spPr>
        <a:xfrm>
          <a:off x="5740400" y="737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337265</xdr:rowOff>
    </xdr:from>
    <xdr:to>
      <xdr:col>4</xdr:col>
      <xdr:colOff>520700</xdr:colOff>
      <xdr:row>38</xdr:row>
      <xdr:rowOff>95965</xdr:rowOff>
    </xdr:to>
    <xdr:sp macro="" textlink="">
      <xdr:nvSpPr>
        <xdr:cNvPr id="133" name="円/楕円 132"/>
        <xdr:cNvSpPr/>
      </xdr:nvSpPr>
      <xdr:spPr bwMode="auto">
        <a:xfrm>
          <a:off x="4953000" y="74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80742</xdr:rowOff>
    </xdr:from>
    <xdr:ext cx="736600" cy="259045"/>
    <xdr:sp macro="" textlink="">
      <xdr:nvSpPr>
        <xdr:cNvPr id="134" name="テキスト ボックス 133"/>
        <xdr:cNvSpPr txBox="1"/>
      </xdr:nvSpPr>
      <xdr:spPr>
        <a:xfrm>
          <a:off x="4622800" y="754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337817</xdr:rowOff>
    </xdr:from>
    <xdr:to>
      <xdr:col>3</xdr:col>
      <xdr:colOff>955675</xdr:colOff>
      <xdr:row>38</xdr:row>
      <xdr:rowOff>96517</xdr:rowOff>
    </xdr:to>
    <xdr:sp macro="" textlink="">
      <xdr:nvSpPr>
        <xdr:cNvPr id="135" name="円/楕円 134"/>
        <xdr:cNvSpPr/>
      </xdr:nvSpPr>
      <xdr:spPr bwMode="auto">
        <a:xfrm>
          <a:off x="4254500" y="746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81294</xdr:rowOff>
    </xdr:from>
    <xdr:ext cx="762000" cy="259045"/>
    <xdr:sp macro="" textlink="">
      <xdr:nvSpPr>
        <xdr:cNvPr id="136" name="テキスト ボックス 135"/>
        <xdr:cNvSpPr txBox="1"/>
      </xdr:nvSpPr>
      <xdr:spPr>
        <a:xfrm>
          <a:off x="3924300" y="75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337756</xdr:rowOff>
    </xdr:from>
    <xdr:to>
      <xdr:col>3</xdr:col>
      <xdr:colOff>257175</xdr:colOff>
      <xdr:row>38</xdr:row>
      <xdr:rowOff>96456</xdr:rowOff>
    </xdr:to>
    <xdr:sp macro="" textlink="">
      <xdr:nvSpPr>
        <xdr:cNvPr id="137" name="円/楕円 136"/>
        <xdr:cNvSpPr/>
      </xdr:nvSpPr>
      <xdr:spPr bwMode="auto">
        <a:xfrm>
          <a:off x="3556000" y="746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81233</xdr:rowOff>
    </xdr:from>
    <xdr:ext cx="762000" cy="259045"/>
    <xdr:sp macro="" textlink="">
      <xdr:nvSpPr>
        <xdr:cNvPr id="138" name="テキスト ボックス 137"/>
        <xdr:cNvSpPr txBox="1"/>
      </xdr:nvSpPr>
      <xdr:spPr>
        <a:xfrm>
          <a:off x="3225800" y="75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328319</xdr:rowOff>
    </xdr:from>
    <xdr:to>
      <xdr:col>2</xdr:col>
      <xdr:colOff>692150</xdr:colOff>
      <xdr:row>38</xdr:row>
      <xdr:rowOff>87019</xdr:rowOff>
    </xdr:to>
    <xdr:sp macro="" textlink="">
      <xdr:nvSpPr>
        <xdr:cNvPr id="139" name="円/楕円 138"/>
        <xdr:cNvSpPr/>
      </xdr:nvSpPr>
      <xdr:spPr bwMode="auto">
        <a:xfrm>
          <a:off x="2857500" y="745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71796</xdr:rowOff>
    </xdr:from>
    <xdr:ext cx="762000" cy="259045"/>
    <xdr:sp macro="" textlink="">
      <xdr:nvSpPr>
        <xdr:cNvPr id="140" name="テキスト ボックス 139"/>
        <xdr:cNvSpPr txBox="1"/>
      </xdr:nvSpPr>
      <xdr:spPr>
        <a:xfrm>
          <a:off x="2527300" y="7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に対する比率が減少した要因は、平成２６年度から始まった普通交付税合併特例措置の段階的縮減による一般財源の減収に対応するため、財政調整基金を取り崩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連結実質赤字比率に係る赤字・黒字の構成分析については、全ての会計で黒字となっており、全会計合計で平成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年度までの標準財政規模比は</a:t>
          </a:r>
          <a:r>
            <a:rPr kumimoji="1" lang="en-US" altLang="ja-JP" sz="1400">
              <a:latin typeface="ＭＳ ゴシック" pitchFamily="49" charset="-128"/>
              <a:ea typeface="ＭＳ ゴシック" pitchFamily="49" charset="-128"/>
            </a:rPr>
            <a:t>16.70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16.31</a:t>
          </a:r>
          <a:r>
            <a:rPr kumimoji="1" lang="ja-JP" altLang="en-US" sz="1400">
              <a:latin typeface="ＭＳ ゴシック" pitchFamily="49" charset="-128"/>
              <a:ea typeface="ＭＳ ゴシック" pitchFamily="49" charset="-128"/>
            </a:rPr>
            <a:t>％となっている。会計別の黒字額の対前年比は以下のとおり。</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（単位：千円）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 H25          H26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増減</a:t>
          </a:r>
          <a:endParaRPr kumimoji="1" lang="en-US" altLang="ja-JP" sz="12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544,529</a:t>
          </a:r>
          <a:r>
            <a:rPr kumimoji="1" lang="ja-JP" altLang="en-US" sz="1400">
              <a:latin typeface="ＭＳ ゴシック" pitchFamily="49" charset="-128"/>
              <a:ea typeface="ＭＳ ゴシック" pitchFamily="49" charset="-128"/>
            </a:rPr>
            <a:t>　→　</a:t>
          </a:r>
          <a:r>
            <a:rPr kumimoji="1" lang="en-US" altLang="ja-JP" sz="1400">
              <a:latin typeface="ＭＳ ゴシック" pitchFamily="49" charset="-128"/>
              <a:ea typeface="ＭＳ ゴシック" pitchFamily="49" charset="-128"/>
            </a:rPr>
            <a:t>832,412</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287,883</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615,741</a:t>
          </a:r>
          <a:r>
            <a:rPr kumimoji="1" lang="ja-JP" altLang="en-US" sz="1400">
              <a:latin typeface="ＭＳ ゴシック" pitchFamily="49" charset="-128"/>
              <a:ea typeface="ＭＳ ゴシック" pitchFamily="49" charset="-128"/>
            </a:rPr>
            <a:t>　→　</a:t>
          </a:r>
          <a:r>
            <a:rPr kumimoji="1" lang="en-US" altLang="ja-JP" sz="1400">
              <a:latin typeface="ＭＳ ゴシック" pitchFamily="49" charset="-128"/>
              <a:ea typeface="ＭＳ ゴシック" pitchFamily="49" charset="-128"/>
            </a:rPr>
            <a:t>683,034</a:t>
          </a:r>
          <a:r>
            <a:rPr kumimoji="1" lang="ja-JP" altLang="en-US" sz="1400">
              <a:latin typeface="ＭＳ ゴシック" pitchFamily="49" charset="-128"/>
              <a:ea typeface="ＭＳ ゴシック" pitchFamily="49" charset="-128"/>
            </a:rPr>
            <a:t>　＋ </a:t>
          </a:r>
          <a:r>
            <a:rPr kumimoji="1" lang="en-US" altLang="ja-JP" sz="1400">
              <a:latin typeface="ＭＳ ゴシック" pitchFamily="49" charset="-128"/>
              <a:ea typeface="ＭＳ ゴシック" pitchFamily="49" charset="-128"/>
            </a:rPr>
            <a:t>67,293</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国保（事業勘定）</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】264,660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191,647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73,013</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国保（施設勘定）</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16,410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1,127</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農業集落排水事業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13,530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2,107</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公共下水道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20,851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5,962</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簡易水道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31,290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20,394</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3,029 </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1,103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元利償還金は、平成</a:t>
          </a:r>
          <a:r>
            <a:rPr kumimoji="1" lang="en-US" altLang="ja-JP" sz="1350">
              <a:latin typeface="ＭＳ ゴシック" pitchFamily="49" charset="-128"/>
              <a:ea typeface="ＭＳ ゴシック" pitchFamily="49" charset="-128"/>
            </a:rPr>
            <a:t>19</a:t>
          </a:r>
          <a:r>
            <a:rPr kumimoji="1" lang="ja-JP" altLang="en-US" sz="1350">
              <a:latin typeface="ＭＳ ゴシック" pitchFamily="49" charset="-128"/>
              <a:ea typeface="ＭＳ ゴシック" pitchFamily="49" charset="-128"/>
            </a:rPr>
            <a:t>年度～平成</a:t>
          </a:r>
          <a:r>
            <a:rPr kumimoji="1" lang="en-US" altLang="ja-JP" sz="1350">
              <a:latin typeface="ＭＳ ゴシック" pitchFamily="49" charset="-128"/>
              <a:ea typeface="ＭＳ ゴシック" pitchFamily="49" charset="-128"/>
            </a:rPr>
            <a:t>21</a:t>
          </a:r>
          <a:r>
            <a:rPr kumimoji="1" lang="ja-JP" altLang="en-US" sz="1350">
              <a:latin typeface="ＭＳ ゴシック" pitchFamily="49" charset="-128"/>
              <a:ea typeface="ＭＳ ゴシック" pitchFamily="49" charset="-128"/>
            </a:rPr>
            <a:t>年度の３カ年度にわたり、利率の高い起債を繰上償還（公的資金補償金免除繰上償還）したことなどにより減少した。また、Ｈ</a:t>
          </a:r>
          <a:r>
            <a:rPr kumimoji="1" lang="en-US" altLang="ja-JP" sz="1350">
              <a:latin typeface="ＭＳ ゴシック" pitchFamily="49" charset="-128"/>
              <a:ea typeface="ＭＳ ゴシック" pitchFamily="49" charset="-128"/>
            </a:rPr>
            <a:t>22</a:t>
          </a:r>
          <a:r>
            <a:rPr kumimoji="1" lang="ja-JP" altLang="en-US" sz="1350">
              <a:latin typeface="ＭＳ ゴシック" pitchFamily="49" charset="-128"/>
              <a:ea typeface="ＭＳ ゴシック" pitchFamily="49" charset="-128"/>
            </a:rPr>
            <a:t>年度以降は発行抑制の効果もあり一定の水準を保っている。公営企業債の元利償還金に対する繰入金は、農業集落排水事業特別会計や公共下水特別会計の下水道事業の繰入金の増が主な要因となり増加している。算入公債費等は、主に臨時財政対策債の借入額増により増加している。実質公債費比率の分子は、元利償還金等が減少傾向にあり、算入公債費等が増加しているため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一般会計等に係る地方債の現在高は、主に平成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年度の繰り上げ償還（公的資金補償金免除繰上償還）により平成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年度では減少したが、平成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年度以降は臨時財政対策債発行額の増などにより増額となっている。充当可能基金は、主に財政調整基金及び学校教育施設等整備基金の取り崩しにより減額となっており、将来負担比率を上げた要因。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16906711</v>
      </c>
      <c r="BO4" s="349"/>
      <c r="BP4" s="349"/>
      <c r="BQ4" s="349"/>
      <c r="BR4" s="349"/>
      <c r="BS4" s="349"/>
      <c r="BT4" s="349"/>
      <c r="BU4" s="350"/>
      <c r="BV4" s="348">
        <v>16575871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15970581</v>
      </c>
      <c r="BO5" s="386"/>
      <c r="BP5" s="386"/>
      <c r="BQ5" s="386"/>
      <c r="BR5" s="386"/>
      <c r="BS5" s="386"/>
      <c r="BT5" s="386"/>
      <c r="BU5" s="387"/>
      <c r="BV5" s="385">
        <v>15444052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80.599999999999994</v>
      </c>
      <c r="CU5" s="383"/>
      <c r="CV5" s="383"/>
      <c r="CW5" s="383"/>
      <c r="CX5" s="383"/>
      <c r="CY5" s="383"/>
      <c r="CZ5" s="383"/>
      <c r="DA5" s="384"/>
      <c r="DB5" s="382">
        <v>74.2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936130</v>
      </c>
      <c r="BO6" s="386"/>
      <c r="BP6" s="386"/>
      <c r="BQ6" s="386"/>
      <c r="BR6" s="386"/>
      <c r="BS6" s="386"/>
      <c r="BT6" s="386"/>
      <c r="BU6" s="387"/>
      <c r="BV6" s="385">
        <v>1131819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86.3</v>
      </c>
      <c r="CU6" s="423"/>
      <c r="CV6" s="423"/>
      <c r="CW6" s="423"/>
      <c r="CX6" s="423"/>
      <c r="CY6" s="423"/>
      <c r="CZ6" s="423"/>
      <c r="DA6" s="424"/>
      <c r="DB6" s="422">
        <v>81.7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103718</v>
      </c>
      <c r="BO7" s="386"/>
      <c r="BP7" s="386"/>
      <c r="BQ7" s="386"/>
      <c r="BR7" s="386"/>
      <c r="BS7" s="386"/>
      <c r="BT7" s="386"/>
      <c r="BU7" s="387"/>
      <c r="BV7" s="385">
        <v>587290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10841503</v>
      </c>
      <c r="CU7" s="386"/>
      <c r="CV7" s="386"/>
      <c r="CW7" s="386"/>
      <c r="CX7" s="386"/>
      <c r="CY7" s="386"/>
      <c r="CZ7" s="386"/>
      <c r="DA7" s="387"/>
      <c r="DB7" s="385">
        <v>11181481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832412</v>
      </c>
      <c r="BO8" s="386"/>
      <c r="BP8" s="386"/>
      <c r="BQ8" s="386"/>
      <c r="BR8" s="386"/>
      <c r="BS8" s="386"/>
      <c r="BT8" s="386"/>
      <c r="BU8" s="387"/>
      <c r="BV8" s="385">
        <v>544529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35047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287883</v>
      </c>
      <c r="BO9" s="386"/>
      <c r="BP9" s="386"/>
      <c r="BQ9" s="386"/>
      <c r="BR9" s="386"/>
      <c r="BS9" s="386"/>
      <c r="BT9" s="386"/>
      <c r="BU9" s="387"/>
      <c r="BV9" s="385">
        <v>-95953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8.4</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34603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50000</v>
      </c>
      <c r="BO10" s="386"/>
      <c r="BP10" s="386"/>
      <c r="BQ10" s="386"/>
      <c r="BR10" s="386"/>
      <c r="BS10" s="386"/>
      <c r="BT10" s="386"/>
      <c r="BU10" s="387"/>
      <c r="BV10" s="385">
        <v>20000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35405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520000</v>
      </c>
      <c r="BO12" s="386"/>
      <c r="BP12" s="386"/>
      <c r="BQ12" s="386"/>
      <c r="BR12" s="386"/>
      <c r="BS12" s="386"/>
      <c r="BT12" s="386"/>
      <c r="BU12" s="387"/>
      <c r="BV12" s="385">
        <v>10000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34986</v>
      </c>
      <c r="S13" s="467"/>
      <c r="T13" s="467"/>
      <c r="U13" s="467"/>
      <c r="V13" s="468"/>
      <c r="W13" s="401" t="s">
        <v>125</v>
      </c>
      <c r="X13" s="402"/>
      <c r="Y13" s="402"/>
      <c r="Z13" s="402"/>
      <c r="AA13" s="402"/>
      <c r="AB13" s="392"/>
      <c r="AC13" s="436">
        <v>1346</v>
      </c>
      <c r="AD13" s="437"/>
      <c r="AE13" s="437"/>
      <c r="AF13" s="437"/>
      <c r="AG13" s="476"/>
      <c r="AH13" s="436">
        <v>1696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-182117</v>
      </c>
      <c r="BO13" s="386"/>
      <c r="BP13" s="386"/>
      <c r="BQ13" s="386"/>
      <c r="BR13" s="386"/>
      <c r="BS13" s="386"/>
      <c r="BT13" s="386"/>
      <c r="BU13" s="387"/>
      <c r="BV13" s="385">
        <v>-85953</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4.0999999999999996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35583</v>
      </c>
      <c r="S14" s="467"/>
      <c r="T14" s="467"/>
      <c r="U14" s="467"/>
      <c r="V14" s="468"/>
      <c r="W14" s="375"/>
      <c r="X14" s="376"/>
      <c r="Y14" s="376"/>
      <c r="Z14" s="376"/>
      <c r="AA14" s="376"/>
      <c r="AB14" s="365"/>
      <c r="AC14" s="469">
        <v>8.1</v>
      </c>
      <c r="AD14" s="470"/>
      <c r="AE14" s="470"/>
      <c r="AF14" s="470"/>
      <c r="AG14" s="471"/>
      <c r="AH14" s="469">
        <v>9.4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20.9</v>
      </c>
      <c r="CU14" s="481"/>
      <c r="CV14" s="481"/>
      <c r="CW14" s="481"/>
      <c r="CX14" s="481"/>
      <c r="CY14" s="481"/>
      <c r="CZ14" s="481"/>
      <c r="DA14" s="482"/>
      <c r="DB14" s="480">
        <v>10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35176</v>
      </c>
      <c r="S15" s="467"/>
      <c r="T15" s="467"/>
      <c r="U15" s="467"/>
      <c r="V15" s="468"/>
      <c r="W15" s="401" t="s">
        <v>132</v>
      </c>
      <c r="X15" s="402"/>
      <c r="Y15" s="402"/>
      <c r="Z15" s="402"/>
      <c r="AA15" s="402"/>
      <c r="AB15" s="392"/>
      <c r="AC15" s="436">
        <v>5327</v>
      </c>
      <c r="AD15" s="437"/>
      <c r="AE15" s="437"/>
      <c r="AF15" s="437"/>
      <c r="AG15" s="476"/>
      <c r="AH15" s="436">
        <v>6017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4650852</v>
      </c>
      <c r="BO15" s="349"/>
      <c r="BP15" s="349"/>
      <c r="BQ15" s="349"/>
      <c r="BR15" s="349"/>
      <c r="BS15" s="349"/>
      <c r="BT15" s="349"/>
      <c r="BU15" s="350"/>
      <c r="BV15" s="348">
        <v>4592343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31.9</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7071594</v>
      </c>
      <c r="BO16" s="386"/>
      <c r="BP16" s="386"/>
      <c r="BQ16" s="386"/>
      <c r="BR16" s="386"/>
      <c r="BS16" s="386"/>
      <c r="BT16" s="386"/>
      <c r="BU16" s="387"/>
      <c r="BV16" s="385">
        <v>6882361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10013</v>
      </c>
      <c r="AD17" s="437"/>
      <c r="AE17" s="437"/>
      <c r="AF17" s="437"/>
      <c r="AG17" s="476"/>
      <c r="AH17" s="436">
        <v>10208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5991272</v>
      </c>
      <c r="BO17" s="386"/>
      <c r="BP17" s="386"/>
      <c r="BQ17" s="386"/>
      <c r="BR17" s="386"/>
      <c r="BS17" s="386"/>
      <c r="BT17" s="386"/>
      <c r="BU17" s="387"/>
      <c r="BV17" s="385">
        <v>5938911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374.65</v>
      </c>
      <c r="M18" s="498"/>
      <c r="N18" s="498"/>
      <c r="O18" s="498"/>
      <c r="P18" s="498"/>
      <c r="Q18" s="498"/>
      <c r="R18" s="499"/>
      <c r="S18" s="499"/>
      <c r="T18" s="499"/>
      <c r="U18" s="499"/>
      <c r="V18" s="500"/>
      <c r="W18" s="403"/>
      <c r="X18" s="404"/>
      <c r="Y18" s="404"/>
      <c r="Z18" s="404"/>
      <c r="AA18" s="404"/>
      <c r="AB18" s="395"/>
      <c r="AC18" s="501">
        <v>60</v>
      </c>
      <c r="AD18" s="502"/>
      <c r="AE18" s="502"/>
      <c r="AF18" s="502"/>
      <c r="AG18" s="503"/>
      <c r="AH18" s="501">
        <v>56.5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8679962</v>
      </c>
      <c r="BO18" s="386"/>
      <c r="BP18" s="386"/>
      <c r="BQ18" s="386"/>
      <c r="BR18" s="386"/>
      <c r="BS18" s="386"/>
      <c r="BT18" s="386"/>
      <c r="BU18" s="387"/>
      <c r="BV18" s="385">
        <v>8351670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12444916</v>
      </c>
      <c r="BO19" s="386"/>
      <c r="BP19" s="386"/>
      <c r="BQ19" s="386"/>
      <c r="BR19" s="386"/>
      <c r="BS19" s="386"/>
      <c r="BT19" s="386"/>
      <c r="BU19" s="387"/>
      <c r="BV19" s="385">
        <v>12564422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11150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16009787</v>
      </c>
      <c r="BO23" s="386"/>
      <c r="BP23" s="386"/>
      <c r="BQ23" s="386"/>
      <c r="BR23" s="386"/>
      <c r="BS23" s="386"/>
      <c r="BT23" s="386"/>
      <c r="BU23" s="387"/>
      <c r="BV23" s="385">
        <v>15728072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255</v>
      </c>
      <c r="AI24" s="437"/>
      <c r="AJ24" s="437"/>
      <c r="AK24" s="437"/>
      <c r="AL24" s="476"/>
      <c r="AM24" s="436">
        <v>763215</v>
      </c>
      <c r="AN24" s="437"/>
      <c r="AO24" s="437"/>
      <c r="AP24" s="437"/>
      <c r="AQ24" s="437"/>
      <c r="AR24" s="476"/>
      <c r="AS24" s="436">
        <v>2993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12673544</v>
      </c>
      <c r="BO24" s="386"/>
      <c r="BP24" s="386"/>
      <c r="BQ24" s="386"/>
      <c r="BR24" s="386"/>
      <c r="BS24" s="386"/>
      <c r="BT24" s="386"/>
      <c r="BU24" s="387"/>
      <c r="BV24" s="385">
        <v>12141144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6500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676895</v>
      </c>
      <c r="BO25" s="349"/>
      <c r="BP25" s="349"/>
      <c r="BQ25" s="349"/>
      <c r="BR25" s="349"/>
      <c r="BS25" s="349"/>
      <c r="BT25" s="349"/>
      <c r="BU25" s="350"/>
      <c r="BV25" s="348">
        <v>1009435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5800</v>
      </c>
      <c r="R26" s="437"/>
      <c r="S26" s="437"/>
      <c r="T26" s="437"/>
      <c r="U26" s="437"/>
      <c r="V26" s="476"/>
      <c r="W26" s="531"/>
      <c r="X26" s="519"/>
      <c r="Y26" s="520"/>
      <c r="Z26" s="435" t="s">
        <v>161</v>
      </c>
      <c r="AA26" s="541"/>
      <c r="AB26" s="541"/>
      <c r="AC26" s="541"/>
      <c r="AD26" s="541"/>
      <c r="AE26" s="541"/>
      <c r="AF26" s="541"/>
      <c r="AG26" s="542"/>
      <c r="AH26" s="436">
        <v>16</v>
      </c>
      <c r="AI26" s="437"/>
      <c r="AJ26" s="437"/>
      <c r="AK26" s="437"/>
      <c r="AL26" s="476"/>
      <c r="AM26" s="436">
        <v>37104</v>
      </c>
      <c r="AN26" s="437"/>
      <c r="AO26" s="437"/>
      <c r="AP26" s="437"/>
      <c r="AQ26" s="437"/>
      <c r="AR26" s="476"/>
      <c r="AS26" s="436">
        <v>2319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3500</v>
      </c>
      <c r="R27" s="437"/>
      <c r="S27" s="437"/>
      <c r="T27" s="437"/>
      <c r="U27" s="437"/>
      <c r="V27" s="476"/>
      <c r="W27" s="531"/>
      <c r="X27" s="519"/>
      <c r="Y27" s="520"/>
      <c r="Z27" s="435" t="s">
        <v>164</v>
      </c>
      <c r="AA27" s="415"/>
      <c r="AB27" s="415"/>
      <c r="AC27" s="415"/>
      <c r="AD27" s="415"/>
      <c r="AE27" s="415"/>
      <c r="AF27" s="415"/>
      <c r="AG27" s="416"/>
      <c r="AH27" s="436">
        <v>29</v>
      </c>
      <c r="AI27" s="437"/>
      <c r="AJ27" s="437"/>
      <c r="AK27" s="437"/>
      <c r="AL27" s="476"/>
      <c r="AM27" s="436">
        <v>76328</v>
      </c>
      <c r="AN27" s="437"/>
      <c r="AO27" s="437"/>
      <c r="AP27" s="437"/>
      <c r="AQ27" s="437"/>
      <c r="AR27" s="476"/>
      <c r="AS27" s="436">
        <v>2632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3000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4913430</v>
      </c>
      <c r="BO28" s="349"/>
      <c r="BP28" s="349"/>
      <c r="BQ28" s="349"/>
      <c r="BR28" s="349"/>
      <c r="BS28" s="349"/>
      <c r="BT28" s="349"/>
      <c r="BU28" s="350"/>
      <c r="BV28" s="348">
        <v>5383430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2700</v>
      </c>
      <c r="R29" s="437"/>
      <c r="S29" s="437"/>
      <c r="T29" s="437"/>
      <c r="U29" s="437"/>
      <c r="V29" s="476"/>
      <c r="W29" s="532"/>
      <c r="X29" s="533"/>
      <c r="Y29" s="534"/>
      <c r="Z29" s="435" t="s">
        <v>171</v>
      </c>
      <c r="AA29" s="415"/>
      <c r="AB29" s="415"/>
      <c r="AC29" s="415"/>
      <c r="AD29" s="415"/>
      <c r="AE29" s="415"/>
      <c r="AF29" s="415"/>
      <c r="AG29" s="416"/>
      <c r="AH29" s="436">
        <v>284</v>
      </c>
      <c r="AI29" s="437"/>
      <c r="AJ29" s="437"/>
      <c r="AK29" s="437"/>
      <c r="AL29" s="476"/>
      <c r="AM29" s="436">
        <v>839543</v>
      </c>
      <c r="AN29" s="437"/>
      <c r="AO29" s="437"/>
      <c r="AP29" s="437"/>
      <c r="AQ29" s="437"/>
      <c r="AR29" s="476"/>
      <c r="AS29" s="436">
        <v>2956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359681</v>
      </c>
      <c r="BO29" s="386"/>
      <c r="BP29" s="386"/>
      <c r="BQ29" s="386"/>
      <c r="BR29" s="386"/>
      <c r="BS29" s="386"/>
      <c r="BT29" s="386"/>
      <c r="BU29" s="387"/>
      <c r="BV29" s="385">
        <v>358681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3446090</v>
      </c>
      <c r="BO30" s="555"/>
      <c r="BP30" s="555"/>
      <c r="BQ30" s="555"/>
      <c r="BR30" s="555"/>
      <c r="BS30" s="555"/>
      <c r="BT30" s="555"/>
      <c r="BU30" s="556"/>
      <c r="BV30" s="554">
        <v>3732238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西濃環境整備組合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もとす振興公社
（旧　織部の里もとす）</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本巣消防事務組合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本巣市土地開発公社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公共下水道特別会計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もとす広域連合（一般会計）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樽見鉄道</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もとす広域連合（介護保険特別会計）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もとす広域連合（老人福祉施設特別会計）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岐阜県市町村会館組合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岐阜地域児童発達支援センター組合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岐阜県後期高齢者医療広域連合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岐阜県市町村職員退職手当組合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5356783</v>
      </c>
      <c r="S5" s="583"/>
      <c r="T5" s="583"/>
      <c r="U5" s="583"/>
      <c r="V5" s="583"/>
      <c r="W5" s="583"/>
      <c r="X5" s="583"/>
      <c r="Y5" s="584"/>
      <c r="Z5" s="585">
        <v>31.7</v>
      </c>
      <c r="AA5" s="585"/>
      <c r="AB5" s="585"/>
      <c r="AC5" s="585"/>
      <c r="AD5" s="586">
        <v>5356783</v>
      </c>
      <c r="AE5" s="586"/>
      <c r="AF5" s="586"/>
      <c r="AG5" s="586"/>
      <c r="AH5" s="586"/>
      <c r="AI5" s="586"/>
      <c r="AJ5" s="586"/>
      <c r="AK5" s="586"/>
      <c r="AL5" s="587">
        <v>53.2</v>
      </c>
      <c r="AM5" s="588"/>
      <c r="AN5" s="588"/>
      <c r="AO5" s="589"/>
      <c r="AP5" s="579" t="s">
        <v>209</v>
      </c>
      <c r="AQ5" s="580"/>
      <c r="AR5" s="580"/>
      <c r="AS5" s="580"/>
      <c r="AT5" s="580"/>
      <c r="AU5" s="580"/>
      <c r="AV5" s="580"/>
      <c r="AW5" s="580"/>
      <c r="AX5" s="580"/>
      <c r="AY5" s="580"/>
      <c r="AZ5" s="580"/>
      <c r="BA5" s="580"/>
      <c r="BB5" s="580"/>
      <c r="BC5" s="580"/>
      <c r="BD5" s="580"/>
      <c r="BE5" s="580"/>
      <c r="BF5" s="581"/>
      <c r="BG5" s="593">
        <v>5349484</v>
      </c>
      <c r="BH5" s="594"/>
      <c r="BI5" s="594"/>
      <c r="BJ5" s="594"/>
      <c r="BK5" s="594"/>
      <c r="BL5" s="594"/>
      <c r="BM5" s="594"/>
      <c r="BN5" s="595"/>
      <c r="BO5" s="596">
        <v>99.9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203341</v>
      </c>
      <c r="S6" s="594"/>
      <c r="T6" s="594"/>
      <c r="U6" s="594"/>
      <c r="V6" s="594"/>
      <c r="W6" s="594"/>
      <c r="X6" s="594"/>
      <c r="Y6" s="595"/>
      <c r="Z6" s="596">
        <v>1.2</v>
      </c>
      <c r="AA6" s="596"/>
      <c r="AB6" s="596"/>
      <c r="AC6" s="596"/>
      <c r="AD6" s="597">
        <v>203341</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5349484</v>
      </c>
      <c r="BH6" s="594"/>
      <c r="BI6" s="594"/>
      <c r="BJ6" s="594"/>
      <c r="BK6" s="594"/>
      <c r="BL6" s="594"/>
      <c r="BM6" s="594"/>
      <c r="BN6" s="595"/>
      <c r="BO6" s="596">
        <v>99.9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153684</v>
      </c>
      <c r="CS6" s="594"/>
      <c r="CT6" s="594"/>
      <c r="CU6" s="594"/>
      <c r="CV6" s="594"/>
      <c r="CW6" s="594"/>
      <c r="CX6" s="594"/>
      <c r="CY6" s="595"/>
      <c r="CZ6" s="596">
        <v>1</v>
      </c>
      <c r="DA6" s="596"/>
      <c r="DB6" s="596"/>
      <c r="DC6" s="596"/>
      <c r="DD6" s="602" t="s">
        <v>210</v>
      </c>
      <c r="DE6" s="594"/>
      <c r="DF6" s="594"/>
      <c r="DG6" s="594"/>
      <c r="DH6" s="594"/>
      <c r="DI6" s="594"/>
      <c r="DJ6" s="594"/>
      <c r="DK6" s="594"/>
      <c r="DL6" s="594"/>
      <c r="DM6" s="594"/>
      <c r="DN6" s="594"/>
      <c r="DO6" s="594"/>
      <c r="DP6" s="595"/>
      <c r="DQ6" s="602">
        <v>153684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9233</v>
      </c>
      <c r="S7" s="594"/>
      <c r="T7" s="594"/>
      <c r="U7" s="594"/>
      <c r="V7" s="594"/>
      <c r="W7" s="594"/>
      <c r="X7" s="594"/>
      <c r="Y7" s="595"/>
      <c r="Z7" s="596">
        <v>0.1</v>
      </c>
      <c r="AA7" s="596"/>
      <c r="AB7" s="596"/>
      <c r="AC7" s="596"/>
      <c r="AD7" s="597">
        <v>9233</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2008038</v>
      </c>
      <c r="BH7" s="594"/>
      <c r="BI7" s="594"/>
      <c r="BJ7" s="594"/>
      <c r="BK7" s="594"/>
      <c r="BL7" s="594"/>
      <c r="BM7" s="594"/>
      <c r="BN7" s="595"/>
      <c r="BO7" s="596">
        <v>37.5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1718970</v>
      </c>
      <c r="CS7" s="594"/>
      <c r="CT7" s="594"/>
      <c r="CU7" s="594"/>
      <c r="CV7" s="594"/>
      <c r="CW7" s="594"/>
      <c r="CX7" s="594"/>
      <c r="CY7" s="595"/>
      <c r="CZ7" s="596">
        <v>10.8</v>
      </c>
      <c r="DA7" s="596"/>
      <c r="DB7" s="596"/>
      <c r="DC7" s="596"/>
      <c r="DD7" s="602">
        <v>141732</v>
      </c>
      <c r="DE7" s="594"/>
      <c r="DF7" s="594"/>
      <c r="DG7" s="594"/>
      <c r="DH7" s="594"/>
      <c r="DI7" s="594"/>
      <c r="DJ7" s="594"/>
      <c r="DK7" s="594"/>
      <c r="DL7" s="594"/>
      <c r="DM7" s="594"/>
      <c r="DN7" s="594"/>
      <c r="DO7" s="594"/>
      <c r="DP7" s="595"/>
      <c r="DQ7" s="602">
        <v>1435084</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27934</v>
      </c>
      <c r="S8" s="594"/>
      <c r="T8" s="594"/>
      <c r="U8" s="594"/>
      <c r="V8" s="594"/>
      <c r="W8" s="594"/>
      <c r="X8" s="594"/>
      <c r="Y8" s="595"/>
      <c r="Z8" s="596">
        <v>0.2</v>
      </c>
      <c r="AA8" s="596"/>
      <c r="AB8" s="596"/>
      <c r="AC8" s="596"/>
      <c r="AD8" s="597">
        <v>27934</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58265</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4257192</v>
      </c>
      <c r="CS8" s="594"/>
      <c r="CT8" s="594"/>
      <c r="CU8" s="594"/>
      <c r="CV8" s="594"/>
      <c r="CW8" s="594"/>
      <c r="CX8" s="594"/>
      <c r="CY8" s="595"/>
      <c r="CZ8" s="596">
        <v>26.7</v>
      </c>
      <c r="DA8" s="596"/>
      <c r="DB8" s="596"/>
      <c r="DC8" s="596"/>
      <c r="DD8" s="602">
        <v>261746</v>
      </c>
      <c r="DE8" s="594"/>
      <c r="DF8" s="594"/>
      <c r="DG8" s="594"/>
      <c r="DH8" s="594"/>
      <c r="DI8" s="594"/>
      <c r="DJ8" s="594"/>
      <c r="DK8" s="594"/>
      <c r="DL8" s="594"/>
      <c r="DM8" s="594"/>
      <c r="DN8" s="594"/>
      <c r="DO8" s="594"/>
      <c r="DP8" s="595"/>
      <c r="DQ8" s="602">
        <v>2491185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13524</v>
      </c>
      <c r="S9" s="594"/>
      <c r="T9" s="594"/>
      <c r="U9" s="594"/>
      <c r="V9" s="594"/>
      <c r="W9" s="594"/>
      <c r="X9" s="594"/>
      <c r="Y9" s="595"/>
      <c r="Z9" s="596">
        <v>0.1</v>
      </c>
      <c r="AA9" s="596"/>
      <c r="AB9" s="596"/>
      <c r="AC9" s="596"/>
      <c r="AD9" s="597">
        <v>13524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1510766</v>
      </c>
      <c r="BH9" s="594"/>
      <c r="BI9" s="594"/>
      <c r="BJ9" s="594"/>
      <c r="BK9" s="594"/>
      <c r="BL9" s="594"/>
      <c r="BM9" s="594"/>
      <c r="BN9" s="595"/>
      <c r="BO9" s="596">
        <v>28.2</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1497944</v>
      </c>
      <c r="CS9" s="594"/>
      <c r="CT9" s="594"/>
      <c r="CU9" s="594"/>
      <c r="CV9" s="594"/>
      <c r="CW9" s="594"/>
      <c r="CX9" s="594"/>
      <c r="CY9" s="595"/>
      <c r="CZ9" s="596">
        <v>9.4</v>
      </c>
      <c r="DA9" s="596"/>
      <c r="DB9" s="596"/>
      <c r="DC9" s="596"/>
      <c r="DD9" s="602">
        <v>34835</v>
      </c>
      <c r="DE9" s="594"/>
      <c r="DF9" s="594"/>
      <c r="DG9" s="594"/>
      <c r="DH9" s="594"/>
      <c r="DI9" s="594"/>
      <c r="DJ9" s="594"/>
      <c r="DK9" s="594"/>
      <c r="DL9" s="594"/>
      <c r="DM9" s="594"/>
      <c r="DN9" s="594"/>
      <c r="DO9" s="594"/>
      <c r="DP9" s="595"/>
      <c r="DQ9" s="602">
        <v>1397833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390189</v>
      </c>
      <c r="S10" s="594"/>
      <c r="T10" s="594"/>
      <c r="U10" s="594"/>
      <c r="V10" s="594"/>
      <c r="W10" s="594"/>
      <c r="X10" s="594"/>
      <c r="Y10" s="595"/>
      <c r="Z10" s="596">
        <v>2.2999999999999998</v>
      </c>
      <c r="AA10" s="596"/>
      <c r="AB10" s="596"/>
      <c r="AC10" s="596"/>
      <c r="AD10" s="597">
        <v>390189</v>
      </c>
      <c r="AE10" s="597"/>
      <c r="AF10" s="597"/>
      <c r="AG10" s="597"/>
      <c r="AH10" s="597"/>
      <c r="AI10" s="597"/>
      <c r="AJ10" s="597"/>
      <c r="AK10" s="597"/>
      <c r="AL10" s="598">
        <v>3.9</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106195</v>
      </c>
      <c r="BH10" s="594"/>
      <c r="BI10" s="594"/>
      <c r="BJ10" s="594"/>
      <c r="BK10" s="594"/>
      <c r="BL10" s="594"/>
      <c r="BM10" s="594"/>
      <c r="BN10" s="595"/>
      <c r="BO10" s="596">
        <v>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3066</v>
      </c>
      <c r="CS10" s="594"/>
      <c r="CT10" s="594"/>
      <c r="CU10" s="594"/>
      <c r="CV10" s="594"/>
      <c r="CW10" s="594"/>
      <c r="CX10" s="594"/>
      <c r="CY10" s="595"/>
      <c r="CZ10" s="596">
        <v>0</v>
      </c>
      <c r="DA10" s="596"/>
      <c r="DB10" s="596"/>
      <c r="DC10" s="596"/>
      <c r="DD10" s="602" t="s">
        <v>222</v>
      </c>
      <c r="DE10" s="594"/>
      <c r="DF10" s="594"/>
      <c r="DG10" s="594"/>
      <c r="DH10" s="594"/>
      <c r="DI10" s="594"/>
      <c r="DJ10" s="594"/>
      <c r="DK10" s="594"/>
      <c r="DL10" s="594"/>
      <c r="DM10" s="594"/>
      <c r="DN10" s="594"/>
      <c r="DO10" s="594"/>
      <c r="DP10" s="595"/>
      <c r="DQ10" s="602">
        <v>66</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16687</v>
      </c>
      <c r="S11" s="594"/>
      <c r="T11" s="594"/>
      <c r="U11" s="594"/>
      <c r="V11" s="594"/>
      <c r="W11" s="594"/>
      <c r="X11" s="594"/>
      <c r="Y11" s="595"/>
      <c r="Z11" s="596">
        <v>0.1</v>
      </c>
      <c r="AA11" s="596"/>
      <c r="AB11" s="596"/>
      <c r="AC11" s="596"/>
      <c r="AD11" s="597">
        <v>16687</v>
      </c>
      <c r="AE11" s="597"/>
      <c r="AF11" s="597"/>
      <c r="AG11" s="597"/>
      <c r="AH11" s="597"/>
      <c r="AI11" s="597"/>
      <c r="AJ11" s="597"/>
      <c r="AK11" s="597"/>
      <c r="AL11" s="598">
        <v>0.2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332812</v>
      </c>
      <c r="BH11" s="594"/>
      <c r="BI11" s="594"/>
      <c r="BJ11" s="594"/>
      <c r="BK11" s="594"/>
      <c r="BL11" s="594"/>
      <c r="BM11" s="594"/>
      <c r="BN11" s="595"/>
      <c r="BO11" s="596">
        <v>6.2</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1033228</v>
      </c>
      <c r="CS11" s="594"/>
      <c r="CT11" s="594"/>
      <c r="CU11" s="594"/>
      <c r="CV11" s="594"/>
      <c r="CW11" s="594"/>
      <c r="CX11" s="594"/>
      <c r="CY11" s="595"/>
      <c r="CZ11" s="596">
        <v>6.5</v>
      </c>
      <c r="DA11" s="596"/>
      <c r="DB11" s="596"/>
      <c r="DC11" s="596"/>
      <c r="DD11" s="602">
        <v>175808</v>
      </c>
      <c r="DE11" s="594"/>
      <c r="DF11" s="594"/>
      <c r="DG11" s="594"/>
      <c r="DH11" s="594"/>
      <c r="DI11" s="594"/>
      <c r="DJ11" s="594"/>
      <c r="DK11" s="594"/>
      <c r="DL11" s="594"/>
      <c r="DM11" s="594"/>
      <c r="DN11" s="594"/>
      <c r="DO11" s="594"/>
      <c r="DP11" s="595"/>
      <c r="DQ11" s="602">
        <v>812869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3036060</v>
      </c>
      <c r="BH12" s="594"/>
      <c r="BI12" s="594"/>
      <c r="BJ12" s="594"/>
      <c r="BK12" s="594"/>
      <c r="BL12" s="594"/>
      <c r="BM12" s="594"/>
      <c r="BN12" s="595"/>
      <c r="BO12" s="596">
        <v>56.7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228244</v>
      </c>
      <c r="CS12" s="594"/>
      <c r="CT12" s="594"/>
      <c r="CU12" s="594"/>
      <c r="CV12" s="594"/>
      <c r="CW12" s="594"/>
      <c r="CX12" s="594"/>
      <c r="CY12" s="595"/>
      <c r="CZ12" s="596">
        <v>1.4</v>
      </c>
      <c r="DA12" s="596"/>
      <c r="DB12" s="596"/>
      <c r="DC12" s="596"/>
      <c r="DD12" s="602">
        <v>25181</v>
      </c>
      <c r="DE12" s="594"/>
      <c r="DF12" s="594"/>
      <c r="DG12" s="594"/>
      <c r="DH12" s="594"/>
      <c r="DI12" s="594"/>
      <c r="DJ12" s="594"/>
      <c r="DK12" s="594"/>
      <c r="DL12" s="594"/>
      <c r="DM12" s="594"/>
      <c r="DN12" s="594"/>
      <c r="DO12" s="594"/>
      <c r="DP12" s="595"/>
      <c r="DQ12" s="602">
        <v>167139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23704</v>
      </c>
      <c r="S13" s="594"/>
      <c r="T13" s="594"/>
      <c r="U13" s="594"/>
      <c r="V13" s="594"/>
      <c r="W13" s="594"/>
      <c r="X13" s="594"/>
      <c r="Y13" s="595"/>
      <c r="Z13" s="596">
        <v>0.1</v>
      </c>
      <c r="AA13" s="596"/>
      <c r="AB13" s="596"/>
      <c r="AC13" s="596"/>
      <c r="AD13" s="597">
        <v>23704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3035105</v>
      </c>
      <c r="BH13" s="594"/>
      <c r="BI13" s="594"/>
      <c r="BJ13" s="594"/>
      <c r="BK13" s="594"/>
      <c r="BL13" s="594"/>
      <c r="BM13" s="594"/>
      <c r="BN13" s="595"/>
      <c r="BO13" s="596">
        <v>56.7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1971747</v>
      </c>
      <c r="CS13" s="594"/>
      <c r="CT13" s="594"/>
      <c r="CU13" s="594"/>
      <c r="CV13" s="594"/>
      <c r="CW13" s="594"/>
      <c r="CX13" s="594"/>
      <c r="CY13" s="595"/>
      <c r="CZ13" s="596">
        <v>12.3</v>
      </c>
      <c r="DA13" s="596"/>
      <c r="DB13" s="596"/>
      <c r="DC13" s="596"/>
      <c r="DD13" s="602">
        <v>1312570</v>
      </c>
      <c r="DE13" s="594"/>
      <c r="DF13" s="594"/>
      <c r="DG13" s="594"/>
      <c r="DH13" s="594"/>
      <c r="DI13" s="594"/>
      <c r="DJ13" s="594"/>
      <c r="DK13" s="594"/>
      <c r="DL13" s="594"/>
      <c r="DM13" s="594"/>
      <c r="DN13" s="594"/>
      <c r="DO13" s="594"/>
      <c r="DP13" s="595"/>
      <c r="DQ13" s="602">
        <v>1446586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79769</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629011</v>
      </c>
      <c r="CS14" s="594"/>
      <c r="CT14" s="594"/>
      <c r="CU14" s="594"/>
      <c r="CV14" s="594"/>
      <c r="CW14" s="594"/>
      <c r="CX14" s="594"/>
      <c r="CY14" s="595"/>
      <c r="CZ14" s="596">
        <v>3.9</v>
      </c>
      <c r="DA14" s="596"/>
      <c r="DB14" s="596"/>
      <c r="DC14" s="596"/>
      <c r="DD14" s="602">
        <v>3544</v>
      </c>
      <c r="DE14" s="594"/>
      <c r="DF14" s="594"/>
      <c r="DG14" s="594"/>
      <c r="DH14" s="594"/>
      <c r="DI14" s="594"/>
      <c r="DJ14" s="594"/>
      <c r="DK14" s="594"/>
      <c r="DL14" s="594"/>
      <c r="DM14" s="594"/>
      <c r="DN14" s="594"/>
      <c r="DO14" s="594"/>
      <c r="DP14" s="595"/>
      <c r="DQ14" s="602">
        <v>625387</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20392</v>
      </c>
      <c r="S15" s="594"/>
      <c r="T15" s="594"/>
      <c r="U15" s="594"/>
      <c r="V15" s="594"/>
      <c r="W15" s="594"/>
      <c r="X15" s="594"/>
      <c r="Y15" s="595"/>
      <c r="Z15" s="596">
        <v>0.1</v>
      </c>
      <c r="AA15" s="596"/>
      <c r="AB15" s="596"/>
      <c r="AC15" s="596"/>
      <c r="AD15" s="597">
        <v>20392</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225617</v>
      </c>
      <c r="BH15" s="594"/>
      <c r="BI15" s="594"/>
      <c r="BJ15" s="594"/>
      <c r="BK15" s="594"/>
      <c r="BL15" s="594"/>
      <c r="BM15" s="594"/>
      <c r="BN15" s="595"/>
      <c r="BO15" s="596">
        <v>4.2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3407524</v>
      </c>
      <c r="CS15" s="594"/>
      <c r="CT15" s="594"/>
      <c r="CU15" s="594"/>
      <c r="CV15" s="594"/>
      <c r="CW15" s="594"/>
      <c r="CX15" s="594"/>
      <c r="CY15" s="595"/>
      <c r="CZ15" s="596">
        <v>21.3</v>
      </c>
      <c r="DA15" s="596"/>
      <c r="DB15" s="596"/>
      <c r="DC15" s="596"/>
      <c r="DD15" s="602">
        <v>1451847</v>
      </c>
      <c r="DE15" s="594"/>
      <c r="DF15" s="594"/>
      <c r="DG15" s="594"/>
      <c r="DH15" s="594"/>
      <c r="DI15" s="594"/>
      <c r="DJ15" s="594"/>
      <c r="DK15" s="594"/>
      <c r="DL15" s="594"/>
      <c r="DM15" s="594"/>
      <c r="DN15" s="594"/>
      <c r="DO15" s="594"/>
      <c r="DP15" s="595"/>
      <c r="DQ15" s="602">
        <v>1937788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4337374</v>
      </c>
      <c r="S16" s="594"/>
      <c r="T16" s="594"/>
      <c r="U16" s="594"/>
      <c r="V16" s="594"/>
      <c r="W16" s="594"/>
      <c r="X16" s="594"/>
      <c r="Y16" s="595"/>
      <c r="Z16" s="596">
        <v>25.7</v>
      </c>
      <c r="AA16" s="596"/>
      <c r="AB16" s="596"/>
      <c r="AC16" s="596"/>
      <c r="AD16" s="597">
        <v>3967890</v>
      </c>
      <c r="AE16" s="597"/>
      <c r="AF16" s="597"/>
      <c r="AG16" s="597"/>
      <c r="AH16" s="597"/>
      <c r="AI16" s="597"/>
      <c r="AJ16" s="597"/>
      <c r="AK16" s="597"/>
      <c r="AL16" s="598">
        <v>39.4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2754</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1490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3967890</v>
      </c>
      <c r="S17" s="594"/>
      <c r="T17" s="594"/>
      <c r="U17" s="594"/>
      <c r="V17" s="594"/>
      <c r="W17" s="594"/>
      <c r="X17" s="594"/>
      <c r="Y17" s="595"/>
      <c r="Z17" s="596">
        <v>23.5</v>
      </c>
      <c r="AA17" s="596"/>
      <c r="AB17" s="596"/>
      <c r="AC17" s="596"/>
      <c r="AD17" s="597">
        <v>3967890</v>
      </c>
      <c r="AE17" s="597"/>
      <c r="AF17" s="597"/>
      <c r="AG17" s="597"/>
      <c r="AH17" s="597"/>
      <c r="AI17" s="597"/>
      <c r="AJ17" s="597"/>
      <c r="AK17" s="597"/>
      <c r="AL17" s="598">
        <v>39.4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1067217</v>
      </c>
      <c r="CS17" s="594"/>
      <c r="CT17" s="594"/>
      <c r="CU17" s="594"/>
      <c r="CV17" s="594"/>
      <c r="CW17" s="594"/>
      <c r="CX17" s="594"/>
      <c r="CY17" s="595"/>
      <c r="CZ17" s="596">
        <v>6.7</v>
      </c>
      <c r="DA17" s="596"/>
      <c r="DB17" s="596"/>
      <c r="DC17" s="596"/>
      <c r="DD17" s="602" t="s">
        <v>222</v>
      </c>
      <c r="DE17" s="594"/>
      <c r="DF17" s="594"/>
      <c r="DG17" s="594"/>
      <c r="DH17" s="594"/>
      <c r="DI17" s="594"/>
      <c r="DJ17" s="594"/>
      <c r="DK17" s="594"/>
      <c r="DL17" s="594"/>
      <c r="DM17" s="594"/>
      <c r="DN17" s="594"/>
      <c r="DO17" s="594"/>
      <c r="DP17" s="595"/>
      <c r="DQ17" s="602">
        <v>1039675</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369484</v>
      </c>
      <c r="S18" s="594"/>
      <c r="T18" s="594"/>
      <c r="U18" s="594"/>
      <c r="V18" s="594"/>
      <c r="W18" s="594"/>
      <c r="X18" s="594"/>
      <c r="Y18" s="595"/>
      <c r="Z18" s="596">
        <v>2.2000000000000002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7299</v>
      </c>
      <c r="BH19" s="594"/>
      <c r="BI19" s="594"/>
      <c r="BJ19" s="594"/>
      <c r="BK19" s="594"/>
      <c r="BL19" s="594"/>
      <c r="BM19" s="594"/>
      <c r="BN19" s="595"/>
      <c r="BO19" s="596">
        <v>0.1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10399161</v>
      </c>
      <c r="S20" s="594"/>
      <c r="T20" s="594"/>
      <c r="U20" s="594"/>
      <c r="V20" s="594"/>
      <c r="W20" s="594"/>
      <c r="X20" s="594"/>
      <c r="Y20" s="595"/>
      <c r="Z20" s="596">
        <v>61.5</v>
      </c>
      <c r="AA20" s="596"/>
      <c r="AB20" s="596"/>
      <c r="AC20" s="596"/>
      <c r="AD20" s="597">
        <v>10029677</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7299</v>
      </c>
      <c r="BH20" s="594"/>
      <c r="BI20" s="594"/>
      <c r="BJ20" s="594"/>
      <c r="BK20" s="594"/>
      <c r="BL20" s="594"/>
      <c r="BM20" s="594"/>
      <c r="BN20" s="595"/>
      <c r="BO20" s="596">
        <v>0.1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15970581</v>
      </c>
      <c r="CS20" s="594"/>
      <c r="CT20" s="594"/>
      <c r="CU20" s="594"/>
      <c r="CV20" s="594"/>
      <c r="CW20" s="594"/>
      <c r="CX20" s="594"/>
      <c r="CY20" s="595"/>
      <c r="CZ20" s="596">
        <v>100</v>
      </c>
      <c r="DA20" s="596"/>
      <c r="DB20" s="596"/>
      <c r="DC20" s="596"/>
      <c r="DD20" s="602">
        <v>3407263</v>
      </c>
      <c r="DE20" s="594"/>
      <c r="DF20" s="594"/>
      <c r="DG20" s="594"/>
      <c r="DH20" s="594"/>
      <c r="DI20" s="594"/>
      <c r="DJ20" s="594"/>
      <c r="DK20" s="594"/>
      <c r="DL20" s="594"/>
      <c r="DM20" s="594"/>
      <c r="DN20" s="594"/>
      <c r="DO20" s="594"/>
      <c r="DP20" s="595"/>
      <c r="DQ20" s="602">
        <v>11508786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5958</v>
      </c>
      <c r="S21" s="594"/>
      <c r="T21" s="594"/>
      <c r="U21" s="594"/>
      <c r="V21" s="594"/>
      <c r="W21" s="594"/>
      <c r="X21" s="594"/>
      <c r="Y21" s="595"/>
      <c r="Z21" s="596">
        <v>0</v>
      </c>
      <c r="AA21" s="596"/>
      <c r="AB21" s="596"/>
      <c r="AC21" s="596"/>
      <c r="AD21" s="597">
        <v>5958</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7299</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38448</v>
      </c>
      <c r="S22" s="594"/>
      <c r="T22" s="594"/>
      <c r="U22" s="594"/>
      <c r="V22" s="594"/>
      <c r="W22" s="594"/>
      <c r="X22" s="594"/>
      <c r="Y22" s="595"/>
      <c r="Z22" s="596">
        <v>0.2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197861</v>
      </c>
      <c r="S23" s="594"/>
      <c r="T23" s="594"/>
      <c r="U23" s="594"/>
      <c r="V23" s="594"/>
      <c r="W23" s="594"/>
      <c r="X23" s="594"/>
      <c r="Y23" s="595"/>
      <c r="Z23" s="596">
        <v>1.2</v>
      </c>
      <c r="AA23" s="596"/>
      <c r="AB23" s="596"/>
      <c r="AC23" s="596"/>
      <c r="AD23" s="597">
        <v>19717</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69744</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5416686</v>
      </c>
      <c r="CS24" s="583"/>
      <c r="CT24" s="583"/>
      <c r="CU24" s="583"/>
      <c r="CV24" s="583"/>
      <c r="CW24" s="583"/>
      <c r="CX24" s="583"/>
      <c r="CY24" s="584"/>
      <c r="CZ24" s="620">
        <v>33.9</v>
      </c>
      <c r="DA24" s="621"/>
      <c r="DB24" s="621"/>
      <c r="DC24" s="622"/>
      <c r="DD24" s="619">
        <v>3854399</v>
      </c>
      <c r="DE24" s="583"/>
      <c r="DF24" s="583"/>
      <c r="DG24" s="583"/>
      <c r="DH24" s="583"/>
      <c r="DI24" s="583"/>
      <c r="DJ24" s="583"/>
      <c r="DK24" s="584"/>
      <c r="DL24" s="619">
        <v>3849185</v>
      </c>
      <c r="DM24" s="583"/>
      <c r="DN24" s="583"/>
      <c r="DO24" s="583"/>
      <c r="DP24" s="583"/>
      <c r="DQ24" s="583"/>
      <c r="DR24" s="583"/>
      <c r="DS24" s="583"/>
      <c r="DT24" s="583"/>
      <c r="DU24" s="583"/>
      <c r="DV24" s="584"/>
      <c r="DW24" s="587">
        <v>35.799999999999997</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1671035</v>
      </c>
      <c r="S25" s="594"/>
      <c r="T25" s="594"/>
      <c r="U25" s="594"/>
      <c r="V25" s="594"/>
      <c r="W25" s="594"/>
      <c r="X25" s="594"/>
      <c r="Y25" s="595"/>
      <c r="Z25" s="596">
        <v>9.9</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2330555</v>
      </c>
      <c r="CS25" s="625"/>
      <c r="CT25" s="625"/>
      <c r="CU25" s="625"/>
      <c r="CV25" s="625"/>
      <c r="CW25" s="625"/>
      <c r="CX25" s="625"/>
      <c r="CY25" s="626"/>
      <c r="CZ25" s="627">
        <v>14.6</v>
      </c>
      <c r="DA25" s="628"/>
      <c r="DB25" s="628"/>
      <c r="DC25" s="629"/>
      <c r="DD25" s="602">
        <v>2090930</v>
      </c>
      <c r="DE25" s="625"/>
      <c r="DF25" s="625"/>
      <c r="DG25" s="625"/>
      <c r="DH25" s="625"/>
      <c r="DI25" s="625"/>
      <c r="DJ25" s="625"/>
      <c r="DK25" s="626"/>
      <c r="DL25" s="602">
        <v>2085716</v>
      </c>
      <c r="DM25" s="625"/>
      <c r="DN25" s="625"/>
      <c r="DO25" s="625"/>
      <c r="DP25" s="625"/>
      <c r="DQ25" s="625"/>
      <c r="DR25" s="625"/>
      <c r="DS25" s="625"/>
      <c r="DT25" s="625"/>
      <c r="DU25" s="625"/>
      <c r="DV25" s="626"/>
      <c r="DW25" s="598">
        <v>19.399999999999999</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1427891</v>
      </c>
      <c r="CS26" s="594"/>
      <c r="CT26" s="594"/>
      <c r="CU26" s="594"/>
      <c r="CV26" s="594"/>
      <c r="CW26" s="594"/>
      <c r="CX26" s="594"/>
      <c r="CY26" s="595"/>
      <c r="CZ26" s="627">
        <v>8.9</v>
      </c>
      <c r="DA26" s="628"/>
      <c r="DB26" s="628"/>
      <c r="DC26" s="629"/>
      <c r="DD26" s="602">
        <v>1217847</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823376</v>
      </c>
      <c r="S27" s="594"/>
      <c r="T27" s="594"/>
      <c r="U27" s="594"/>
      <c r="V27" s="594"/>
      <c r="W27" s="594"/>
      <c r="X27" s="594"/>
      <c r="Y27" s="595"/>
      <c r="Z27" s="596">
        <v>4.9000000000000004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5356783</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2018914</v>
      </c>
      <c r="CS27" s="625"/>
      <c r="CT27" s="625"/>
      <c r="CU27" s="625"/>
      <c r="CV27" s="625"/>
      <c r="CW27" s="625"/>
      <c r="CX27" s="625"/>
      <c r="CY27" s="626"/>
      <c r="CZ27" s="627">
        <v>12.6</v>
      </c>
      <c r="DA27" s="628"/>
      <c r="DB27" s="628"/>
      <c r="DC27" s="629"/>
      <c r="DD27" s="602">
        <v>723794</v>
      </c>
      <c r="DE27" s="625"/>
      <c r="DF27" s="625"/>
      <c r="DG27" s="625"/>
      <c r="DH27" s="625"/>
      <c r="DI27" s="625"/>
      <c r="DJ27" s="625"/>
      <c r="DK27" s="626"/>
      <c r="DL27" s="602">
        <v>723794</v>
      </c>
      <c r="DM27" s="625"/>
      <c r="DN27" s="625"/>
      <c r="DO27" s="625"/>
      <c r="DP27" s="625"/>
      <c r="DQ27" s="625"/>
      <c r="DR27" s="625"/>
      <c r="DS27" s="625"/>
      <c r="DT27" s="625"/>
      <c r="DU27" s="625"/>
      <c r="DV27" s="626"/>
      <c r="DW27" s="598">
        <v>6.7</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83349</v>
      </c>
      <c r="S28" s="594"/>
      <c r="T28" s="594"/>
      <c r="U28" s="594"/>
      <c r="V28" s="594"/>
      <c r="W28" s="594"/>
      <c r="X28" s="594"/>
      <c r="Y28" s="595"/>
      <c r="Z28" s="596">
        <v>0.5</v>
      </c>
      <c r="AA28" s="596"/>
      <c r="AB28" s="596"/>
      <c r="AC28" s="596"/>
      <c r="AD28" s="597">
        <v>7640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1067217</v>
      </c>
      <c r="CS28" s="594"/>
      <c r="CT28" s="594"/>
      <c r="CU28" s="594"/>
      <c r="CV28" s="594"/>
      <c r="CW28" s="594"/>
      <c r="CX28" s="594"/>
      <c r="CY28" s="595"/>
      <c r="CZ28" s="627">
        <v>6.7</v>
      </c>
      <c r="DA28" s="628"/>
      <c r="DB28" s="628"/>
      <c r="DC28" s="629"/>
      <c r="DD28" s="602">
        <v>1039675</v>
      </c>
      <c r="DE28" s="594"/>
      <c r="DF28" s="594"/>
      <c r="DG28" s="594"/>
      <c r="DH28" s="594"/>
      <c r="DI28" s="594"/>
      <c r="DJ28" s="594"/>
      <c r="DK28" s="595"/>
      <c r="DL28" s="602">
        <v>1039675</v>
      </c>
      <c r="DM28" s="594"/>
      <c r="DN28" s="594"/>
      <c r="DO28" s="594"/>
      <c r="DP28" s="594"/>
      <c r="DQ28" s="594"/>
      <c r="DR28" s="594"/>
      <c r="DS28" s="594"/>
      <c r="DT28" s="594"/>
      <c r="DU28" s="594"/>
      <c r="DV28" s="595"/>
      <c r="DW28" s="598">
        <v>9.6999999999999993</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9160</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1067217</v>
      </c>
      <c r="CS29" s="625"/>
      <c r="CT29" s="625"/>
      <c r="CU29" s="625"/>
      <c r="CV29" s="625"/>
      <c r="CW29" s="625"/>
      <c r="CX29" s="625"/>
      <c r="CY29" s="626"/>
      <c r="CZ29" s="627">
        <v>6.7</v>
      </c>
      <c r="DA29" s="628"/>
      <c r="DB29" s="628"/>
      <c r="DC29" s="629"/>
      <c r="DD29" s="602">
        <v>1039675</v>
      </c>
      <c r="DE29" s="625"/>
      <c r="DF29" s="625"/>
      <c r="DG29" s="625"/>
      <c r="DH29" s="625"/>
      <c r="DI29" s="625"/>
      <c r="DJ29" s="625"/>
      <c r="DK29" s="626"/>
      <c r="DL29" s="602">
        <v>1039675</v>
      </c>
      <c r="DM29" s="625"/>
      <c r="DN29" s="625"/>
      <c r="DO29" s="625"/>
      <c r="DP29" s="625"/>
      <c r="DQ29" s="625"/>
      <c r="DR29" s="625"/>
      <c r="DS29" s="625"/>
      <c r="DT29" s="625"/>
      <c r="DU29" s="625"/>
      <c r="DV29" s="626"/>
      <c r="DW29" s="598">
        <v>9.6999999999999993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820534</v>
      </c>
      <c r="S30" s="594"/>
      <c r="T30" s="594"/>
      <c r="U30" s="594"/>
      <c r="V30" s="594"/>
      <c r="W30" s="594"/>
      <c r="X30" s="594"/>
      <c r="Y30" s="595"/>
      <c r="Z30" s="596">
        <v>4.9000000000000004</v>
      </c>
      <c r="AA30" s="596"/>
      <c r="AB30" s="596"/>
      <c r="AC30" s="596"/>
      <c r="AD30" s="597">
        <v>35</v>
      </c>
      <c r="AE30" s="597"/>
      <c r="AF30" s="597"/>
      <c r="AG30" s="597"/>
      <c r="AH30" s="597"/>
      <c r="AI30" s="597"/>
      <c r="AJ30" s="597"/>
      <c r="AK30" s="597"/>
      <c r="AL30" s="598">
        <v>0</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94.9</v>
      </c>
      <c r="BN30" s="652"/>
      <c r="BO30" s="652"/>
      <c r="BP30" s="652"/>
      <c r="BQ30" s="653"/>
      <c r="BR30" s="651">
        <v>98.6</v>
      </c>
      <c r="BS30" s="652"/>
      <c r="BT30" s="652"/>
      <c r="BU30" s="652"/>
      <c r="BV30" s="652"/>
      <c r="BW30" s="652"/>
      <c r="BX30" s="588">
        <v>94.7</v>
      </c>
      <c r="BY30" s="652"/>
      <c r="BZ30" s="652"/>
      <c r="CA30" s="652"/>
      <c r="CB30" s="653"/>
      <c r="CD30" s="656"/>
      <c r="CE30" s="657"/>
      <c r="CF30" s="607" t="s">
        <v>293</v>
      </c>
      <c r="CG30" s="608"/>
      <c r="CH30" s="608"/>
      <c r="CI30" s="608"/>
      <c r="CJ30" s="608"/>
      <c r="CK30" s="608"/>
      <c r="CL30" s="608"/>
      <c r="CM30" s="608"/>
      <c r="CN30" s="608"/>
      <c r="CO30" s="608"/>
      <c r="CP30" s="608"/>
      <c r="CQ30" s="609"/>
      <c r="CR30" s="593">
        <v>917485</v>
      </c>
      <c r="CS30" s="594"/>
      <c r="CT30" s="594"/>
      <c r="CU30" s="594"/>
      <c r="CV30" s="594"/>
      <c r="CW30" s="594"/>
      <c r="CX30" s="594"/>
      <c r="CY30" s="595"/>
      <c r="CZ30" s="627">
        <v>5.7</v>
      </c>
      <c r="DA30" s="628"/>
      <c r="DB30" s="628"/>
      <c r="DC30" s="629"/>
      <c r="DD30" s="602">
        <v>892618</v>
      </c>
      <c r="DE30" s="594"/>
      <c r="DF30" s="594"/>
      <c r="DG30" s="594"/>
      <c r="DH30" s="594"/>
      <c r="DI30" s="594"/>
      <c r="DJ30" s="594"/>
      <c r="DK30" s="595"/>
      <c r="DL30" s="602">
        <v>892618</v>
      </c>
      <c r="DM30" s="594"/>
      <c r="DN30" s="594"/>
      <c r="DO30" s="594"/>
      <c r="DP30" s="594"/>
      <c r="DQ30" s="594"/>
      <c r="DR30" s="594"/>
      <c r="DS30" s="594"/>
      <c r="DT30" s="594"/>
      <c r="DU30" s="594"/>
      <c r="DV30" s="595"/>
      <c r="DW30" s="598">
        <v>8.3000000000000007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1131819</v>
      </c>
      <c r="S31" s="594"/>
      <c r="T31" s="594"/>
      <c r="U31" s="594"/>
      <c r="V31" s="594"/>
      <c r="W31" s="594"/>
      <c r="X31" s="594"/>
      <c r="Y31" s="595"/>
      <c r="Z31" s="596">
        <v>6.7</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97.4</v>
      </c>
      <c r="BN31" s="649"/>
      <c r="BO31" s="649"/>
      <c r="BP31" s="649"/>
      <c r="BQ31" s="650"/>
      <c r="BR31" s="648">
        <v>98.8</v>
      </c>
      <c r="BS31" s="625"/>
      <c r="BT31" s="625"/>
      <c r="BU31" s="625"/>
      <c r="BV31" s="625"/>
      <c r="BW31" s="625"/>
      <c r="BX31" s="599">
        <v>96.8</v>
      </c>
      <c r="BY31" s="649"/>
      <c r="BZ31" s="649"/>
      <c r="CA31" s="649"/>
      <c r="CB31" s="650"/>
      <c r="CD31" s="656"/>
      <c r="CE31" s="657"/>
      <c r="CF31" s="607" t="s">
        <v>297</v>
      </c>
      <c r="CG31" s="608"/>
      <c r="CH31" s="608"/>
      <c r="CI31" s="608"/>
      <c r="CJ31" s="608"/>
      <c r="CK31" s="608"/>
      <c r="CL31" s="608"/>
      <c r="CM31" s="608"/>
      <c r="CN31" s="608"/>
      <c r="CO31" s="608"/>
      <c r="CP31" s="608"/>
      <c r="CQ31" s="609"/>
      <c r="CR31" s="593">
        <v>149732</v>
      </c>
      <c r="CS31" s="625"/>
      <c r="CT31" s="625"/>
      <c r="CU31" s="625"/>
      <c r="CV31" s="625"/>
      <c r="CW31" s="625"/>
      <c r="CX31" s="625"/>
      <c r="CY31" s="626"/>
      <c r="CZ31" s="627">
        <v>0.9</v>
      </c>
      <c r="DA31" s="628"/>
      <c r="DB31" s="628"/>
      <c r="DC31" s="629"/>
      <c r="DD31" s="602">
        <v>147057</v>
      </c>
      <c r="DE31" s="625"/>
      <c r="DF31" s="625"/>
      <c r="DG31" s="625"/>
      <c r="DH31" s="625"/>
      <c r="DI31" s="625"/>
      <c r="DJ31" s="625"/>
      <c r="DK31" s="626"/>
      <c r="DL31" s="602">
        <v>147057</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457066</v>
      </c>
      <c r="S32" s="594"/>
      <c r="T32" s="594"/>
      <c r="U32" s="594"/>
      <c r="V32" s="594"/>
      <c r="W32" s="594"/>
      <c r="X32" s="594"/>
      <c r="Y32" s="595"/>
      <c r="Z32" s="596">
        <v>2.7</v>
      </c>
      <c r="AA32" s="596"/>
      <c r="AB32" s="596"/>
      <c r="AC32" s="596"/>
      <c r="AD32" s="597">
        <v>267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92.9</v>
      </c>
      <c r="BN32" s="661"/>
      <c r="BO32" s="661"/>
      <c r="BP32" s="661"/>
      <c r="BQ32" s="663"/>
      <c r="BR32" s="660">
        <v>98.3</v>
      </c>
      <c r="BS32" s="661"/>
      <c r="BT32" s="661"/>
      <c r="BU32" s="661"/>
      <c r="BV32" s="661"/>
      <c r="BW32" s="661"/>
      <c r="BX32" s="662">
        <v>93.1</v>
      </c>
      <c r="BY32" s="661"/>
      <c r="BZ32" s="661"/>
      <c r="CA32" s="661"/>
      <c r="CB32" s="663"/>
      <c r="CD32" s="658"/>
      <c r="CE32" s="659"/>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1199200</v>
      </c>
      <c r="S33" s="594"/>
      <c r="T33" s="594"/>
      <c r="U33" s="594"/>
      <c r="V33" s="594"/>
      <c r="W33" s="594"/>
      <c r="X33" s="594"/>
      <c r="Y33" s="595"/>
      <c r="Z33" s="596">
        <v>7.1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7143878</v>
      </c>
      <c r="CS33" s="625"/>
      <c r="CT33" s="625"/>
      <c r="CU33" s="625"/>
      <c r="CV33" s="625"/>
      <c r="CW33" s="625"/>
      <c r="CX33" s="625"/>
      <c r="CY33" s="626"/>
      <c r="CZ33" s="627">
        <v>44.7</v>
      </c>
      <c r="DA33" s="628"/>
      <c r="DB33" s="628"/>
      <c r="DC33" s="629"/>
      <c r="DD33" s="602">
        <v>6212317</v>
      </c>
      <c r="DE33" s="625"/>
      <c r="DF33" s="625"/>
      <c r="DG33" s="625"/>
      <c r="DH33" s="625"/>
      <c r="DI33" s="625"/>
      <c r="DJ33" s="625"/>
      <c r="DK33" s="626"/>
      <c r="DL33" s="602">
        <v>4830777</v>
      </c>
      <c r="DM33" s="625"/>
      <c r="DN33" s="625"/>
      <c r="DO33" s="625"/>
      <c r="DP33" s="625"/>
      <c r="DQ33" s="625"/>
      <c r="DR33" s="625"/>
      <c r="DS33" s="625"/>
      <c r="DT33" s="625"/>
      <c r="DU33" s="625"/>
      <c r="DV33" s="626"/>
      <c r="DW33" s="598">
        <v>44.9</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2922792</v>
      </c>
      <c r="CS34" s="594"/>
      <c r="CT34" s="594"/>
      <c r="CU34" s="594"/>
      <c r="CV34" s="594"/>
      <c r="CW34" s="594"/>
      <c r="CX34" s="594"/>
      <c r="CY34" s="595"/>
      <c r="CZ34" s="627">
        <v>18.3</v>
      </c>
      <c r="DA34" s="628"/>
      <c r="DB34" s="628"/>
      <c r="DC34" s="629"/>
      <c r="DD34" s="602">
        <v>2372770</v>
      </c>
      <c r="DE34" s="594"/>
      <c r="DF34" s="594"/>
      <c r="DG34" s="594"/>
      <c r="DH34" s="594"/>
      <c r="DI34" s="594"/>
      <c r="DJ34" s="594"/>
      <c r="DK34" s="595"/>
      <c r="DL34" s="602">
        <v>2065176</v>
      </c>
      <c r="DM34" s="594"/>
      <c r="DN34" s="594"/>
      <c r="DO34" s="594"/>
      <c r="DP34" s="594"/>
      <c r="DQ34" s="594"/>
      <c r="DR34" s="594"/>
      <c r="DS34" s="594"/>
      <c r="DT34" s="594"/>
      <c r="DU34" s="594"/>
      <c r="DV34" s="595"/>
      <c r="DW34" s="598">
        <v>19.2</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700000</v>
      </c>
      <c r="S35" s="594"/>
      <c r="T35" s="594"/>
      <c r="U35" s="594"/>
      <c r="V35" s="594"/>
      <c r="W35" s="594"/>
      <c r="X35" s="594"/>
      <c r="Y35" s="595"/>
      <c r="Z35" s="596">
        <v>4.0999999999999996</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2217890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191647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222762</v>
      </c>
      <c r="CS35" s="625"/>
      <c r="CT35" s="625"/>
      <c r="CU35" s="625"/>
      <c r="CV35" s="625"/>
      <c r="CW35" s="625"/>
      <c r="CX35" s="625"/>
      <c r="CY35" s="626"/>
      <c r="CZ35" s="627">
        <v>1.4</v>
      </c>
      <c r="DA35" s="628"/>
      <c r="DB35" s="628"/>
      <c r="DC35" s="629"/>
      <c r="DD35" s="602">
        <v>210638</v>
      </c>
      <c r="DE35" s="625"/>
      <c r="DF35" s="625"/>
      <c r="DG35" s="625"/>
      <c r="DH35" s="625"/>
      <c r="DI35" s="625"/>
      <c r="DJ35" s="625"/>
      <c r="DK35" s="626"/>
      <c r="DL35" s="602">
        <v>210638</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16906711</v>
      </c>
      <c r="S36" s="666"/>
      <c r="T36" s="666"/>
      <c r="U36" s="666"/>
      <c r="V36" s="666"/>
      <c r="W36" s="666"/>
      <c r="X36" s="666"/>
      <c r="Y36" s="667"/>
      <c r="Z36" s="668">
        <v>100</v>
      </c>
      <c r="AA36" s="668"/>
      <c r="AB36" s="668"/>
      <c r="AC36" s="668"/>
      <c r="AD36" s="669">
        <v>10063294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707000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148213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1840645</v>
      </c>
      <c r="CS36" s="594"/>
      <c r="CT36" s="594"/>
      <c r="CU36" s="594"/>
      <c r="CV36" s="594"/>
      <c r="CW36" s="594"/>
      <c r="CX36" s="594"/>
      <c r="CY36" s="595"/>
      <c r="CZ36" s="627">
        <v>11.5</v>
      </c>
      <c r="DA36" s="628"/>
      <c r="DB36" s="628"/>
      <c r="DC36" s="629"/>
      <c r="DD36" s="602">
        <v>1685878</v>
      </c>
      <c r="DE36" s="594"/>
      <c r="DF36" s="594"/>
      <c r="DG36" s="594"/>
      <c r="DH36" s="594"/>
      <c r="DI36" s="594"/>
      <c r="DJ36" s="594"/>
      <c r="DK36" s="595"/>
      <c r="DL36" s="602">
        <v>1271523</v>
      </c>
      <c r="DM36" s="594"/>
      <c r="DN36" s="594"/>
      <c r="DO36" s="594"/>
      <c r="DP36" s="594"/>
      <c r="DQ36" s="594"/>
      <c r="DR36" s="594"/>
      <c r="DS36" s="594"/>
      <c r="DT36" s="594"/>
      <c r="DU36" s="594"/>
      <c r="DV36" s="595"/>
      <c r="DW36" s="598">
        <v>11.8</v>
      </c>
      <c r="DX36" s="623"/>
      <c r="DY36" s="623"/>
      <c r="DZ36" s="623"/>
      <c r="EA36" s="623"/>
      <c r="EB36" s="623"/>
      <c r="EC36" s="624"/>
    </row>
    <row r="37" spans="2:133" ht="11.25" customHeight="1">
      <c r="AQ37" s="672" t="s">
        <v>315</v>
      </c>
      <c r="AR37" s="673"/>
      <c r="AS37" s="673"/>
      <c r="AT37" s="673"/>
      <c r="AU37" s="673"/>
      <c r="AV37" s="673"/>
      <c r="AW37" s="673"/>
      <c r="AX37" s="673"/>
      <c r="AY37" s="674"/>
      <c r="AZ37" s="593">
        <v>243500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5004</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836983</v>
      </c>
      <c r="CS37" s="625"/>
      <c r="CT37" s="625"/>
      <c r="CU37" s="625"/>
      <c r="CV37" s="625"/>
      <c r="CW37" s="625"/>
      <c r="CX37" s="625"/>
      <c r="CY37" s="626"/>
      <c r="CZ37" s="627">
        <v>5.2</v>
      </c>
      <c r="DA37" s="628"/>
      <c r="DB37" s="628"/>
      <c r="DC37" s="629"/>
      <c r="DD37" s="602">
        <v>829688</v>
      </c>
      <c r="DE37" s="625"/>
      <c r="DF37" s="625"/>
      <c r="DG37" s="625"/>
      <c r="DH37" s="625"/>
      <c r="DI37" s="625"/>
      <c r="DJ37" s="625"/>
      <c r="DK37" s="626"/>
      <c r="DL37" s="602">
        <v>742382</v>
      </c>
      <c r="DM37" s="625"/>
      <c r="DN37" s="625"/>
      <c r="DO37" s="625"/>
      <c r="DP37" s="625"/>
      <c r="DQ37" s="625"/>
      <c r="DR37" s="625"/>
      <c r="DS37" s="625"/>
      <c r="DT37" s="625"/>
      <c r="DU37" s="625"/>
      <c r="DV37" s="626"/>
      <c r="DW37" s="598">
        <v>6.9</v>
      </c>
      <c r="DX37" s="623"/>
      <c r="DY37" s="623"/>
      <c r="DZ37" s="623"/>
      <c r="EA37" s="623"/>
      <c r="EB37" s="623"/>
      <c r="EC37" s="624"/>
    </row>
    <row r="38" spans="2:133" ht="11.25" customHeight="1">
      <c r="AQ38" s="672" t="s">
        <v>318</v>
      </c>
      <c r="AR38" s="673"/>
      <c r="AS38" s="673"/>
      <c r="AT38" s="673"/>
      <c r="AU38" s="673"/>
      <c r="AV38" s="673"/>
      <c r="AW38" s="673"/>
      <c r="AX38" s="673"/>
      <c r="AY38" s="674"/>
      <c r="AZ38" s="593">
        <v>153594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9119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2064296</v>
      </c>
      <c r="CS38" s="594"/>
      <c r="CT38" s="594"/>
      <c r="CU38" s="594"/>
      <c r="CV38" s="594"/>
      <c r="CW38" s="594"/>
      <c r="CX38" s="594"/>
      <c r="CY38" s="595"/>
      <c r="CZ38" s="627">
        <v>12.9</v>
      </c>
      <c r="DA38" s="628"/>
      <c r="DB38" s="628"/>
      <c r="DC38" s="629"/>
      <c r="DD38" s="602">
        <v>1924459</v>
      </c>
      <c r="DE38" s="594"/>
      <c r="DF38" s="594"/>
      <c r="DG38" s="594"/>
      <c r="DH38" s="594"/>
      <c r="DI38" s="594"/>
      <c r="DJ38" s="594"/>
      <c r="DK38" s="595"/>
      <c r="DL38" s="602">
        <v>1283440</v>
      </c>
      <c r="DM38" s="594"/>
      <c r="DN38" s="594"/>
      <c r="DO38" s="594"/>
      <c r="DP38" s="594"/>
      <c r="DQ38" s="594"/>
      <c r="DR38" s="594"/>
      <c r="DS38" s="594"/>
      <c r="DT38" s="594"/>
      <c r="DU38" s="594"/>
      <c r="DV38" s="595"/>
      <c r="DW38" s="598">
        <v>11.9</v>
      </c>
      <c r="DX38" s="623"/>
      <c r="DY38" s="623"/>
      <c r="DZ38" s="623"/>
      <c r="EA38" s="623"/>
      <c r="EB38" s="623"/>
      <c r="EC38" s="624"/>
    </row>
    <row r="39" spans="2:133" ht="11.25" customHeight="1">
      <c r="AQ39" s="672" t="s">
        <v>321</v>
      </c>
      <c r="AR39" s="673"/>
      <c r="AS39" s="673"/>
      <c r="AT39" s="673"/>
      <c r="AU39" s="673"/>
      <c r="AV39" s="673"/>
      <c r="AW39" s="673"/>
      <c r="AX39" s="673"/>
      <c r="AY39" s="674"/>
      <c r="AZ39" s="593">
        <v>4747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65351</v>
      </c>
      <c r="CS39" s="625"/>
      <c r="CT39" s="625"/>
      <c r="CU39" s="625"/>
      <c r="CV39" s="625"/>
      <c r="CW39" s="625"/>
      <c r="CX39" s="625"/>
      <c r="CY39" s="626"/>
      <c r="CZ39" s="627">
        <v>0.4</v>
      </c>
      <c r="DA39" s="628"/>
      <c r="DB39" s="628"/>
      <c r="DC39" s="629"/>
      <c r="DD39" s="602">
        <v>18143</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324728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28032</v>
      </c>
      <c r="CS40" s="594"/>
      <c r="CT40" s="594"/>
      <c r="CU40" s="594"/>
      <c r="CV40" s="594"/>
      <c r="CW40" s="594"/>
      <c r="CX40" s="594"/>
      <c r="CY40" s="595"/>
      <c r="CZ40" s="627">
        <v>0.2</v>
      </c>
      <c r="DA40" s="628"/>
      <c r="DB40" s="628"/>
      <c r="DC40" s="629"/>
      <c r="DD40" s="602">
        <v>429</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784321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3410017</v>
      </c>
      <c r="CS42" s="594"/>
      <c r="CT42" s="594"/>
      <c r="CU42" s="594"/>
      <c r="CV42" s="594"/>
      <c r="CW42" s="594"/>
      <c r="CX42" s="594"/>
      <c r="CY42" s="595"/>
      <c r="CZ42" s="627">
        <v>21.4</v>
      </c>
      <c r="DA42" s="676"/>
      <c r="DB42" s="676"/>
      <c r="DC42" s="677"/>
      <c r="DD42" s="602">
        <v>1442070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67584</v>
      </c>
      <c r="CS43" s="625"/>
      <c r="CT43" s="625"/>
      <c r="CU43" s="625"/>
      <c r="CV43" s="625"/>
      <c r="CW43" s="625"/>
      <c r="CX43" s="625"/>
      <c r="CY43" s="626"/>
      <c r="CZ43" s="627">
        <v>0.4</v>
      </c>
      <c r="DA43" s="628"/>
      <c r="DB43" s="628"/>
      <c r="DC43" s="629"/>
      <c r="DD43" s="602">
        <v>67584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3407263</v>
      </c>
      <c r="CS44" s="594"/>
      <c r="CT44" s="594"/>
      <c r="CU44" s="594"/>
      <c r="CV44" s="594"/>
      <c r="CW44" s="594"/>
      <c r="CX44" s="594"/>
      <c r="CY44" s="595"/>
      <c r="CZ44" s="627">
        <v>21.3</v>
      </c>
      <c r="DA44" s="676"/>
      <c r="DB44" s="676"/>
      <c r="DC44" s="677"/>
      <c r="DD44" s="602">
        <v>1440580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1355816</v>
      </c>
      <c r="CS45" s="625"/>
      <c r="CT45" s="625"/>
      <c r="CU45" s="625"/>
      <c r="CV45" s="625"/>
      <c r="CW45" s="625"/>
      <c r="CX45" s="625"/>
      <c r="CY45" s="626"/>
      <c r="CZ45" s="627">
        <v>8.5</v>
      </c>
      <c r="DA45" s="628"/>
      <c r="DB45" s="628"/>
      <c r="DC45" s="629"/>
      <c r="DD45" s="602">
        <v>80969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2009520</v>
      </c>
      <c r="CS46" s="594"/>
      <c r="CT46" s="594"/>
      <c r="CU46" s="594"/>
      <c r="CV46" s="594"/>
      <c r="CW46" s="594"/>
      <c r="CX46" s="594"/>
      <c r="CY46" s="595"/>
      <c r="CZ46" s="627">
        <v>12.6</v>
      </c>
      <c r="DA46" s="676"/>
      <c r="DB46" s="676"/>
      <c r="DC46" s="677"/>
      <c r="DD46" s="602">
        <v>1317684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2754</v>
      </c>
      <c r="CS47" s="625"/>
      <c r="CT47" s="625"/>
      <c r="CU47" s="625"/>
      <c r="CV47" s="625"/>
      <c r="CW47" s="625"/>
      <c r="CX47" s="625"/>
      <c r="CY47" s="626"/>
      <c r="CZ47" s="627">
        <v>0</v>
      </c>
      <c r="DA47" s="628"/>
      <c r="DB47" s="628"/>
      <c r="DC47" s="629"/>
      <c r="DD47" s="602">
        <v>1490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15970581</v>
      </c>
      <c r="CS49" s="661"/>
      <c r="CT49" s="661"/>
      <c r="CU49" s="661"/>
      <c r="CV49" s="661"/>
      <c r="CW49" s="661"/>
      <c r="CX49" s="661"/>
      <c r="CY49" s="688"/>
      <c r="CZ49" s="689">
        <v>100</v>
      </c>
      <c r="DA49" s="690"/>
      <c r="DB49" s="690"/>
      <c r="DC49" s="691"/>
      <c r="DD49" s="692">
        <v>11508786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48.75" customHeight="1" thickTop="1">
      <c r="A7" s="209">
        <v>1</v>
      </c>
      <c r="B7" s="719" t="s">
        <v>533</v>
      </c>
      <c r="C7" s="720"/>
      <c r="D7" s="720"/>
      <c r="E7" s="720"/>
      <c r="F7" s="720"/>
      <c r="G7" s="720"/>
      <c r="H7" s="720"/>
      <c r="I7" s="720"/>
      <c r="J7" s="720"/>
      <c r="K7" s="720"/>
      <c r="L7" s="720"/>
      <c r="M7" s="720"/>
      <c r="N7" s="720"/>
      <c r="O7" s="720"/>
      <c r="P7" s="721"/>
      <c r="Q7" s="722">
        <f>16913</f>
        <v>16913</v>
      </c>
      <c r="R7" s="723"/>
      <c r="S7" s="723"/>
      <c r="T7" s="723"/>
      <c r="U7" s="723"/>
      <c r="V7" s="723">
        <f>15977</f>
        <v>15977</v>
      </c>
      <c r="W7" s="723"/>
      <c r="X7" s="723"/>
      <c r="Y7" s="723"/>
      <c r="Z7" s="723"/>
      <c r="AA7" s="723">
        <f>Q7-V7</f>
        <v>936</v>
      </c>
      <c r="AB7" s="723"/>
      <c r="AC7" s="723"/>
      <c r="AD7" s="723"/>
      <c r="AE7" s="724"/>
      <c r="AF7" s="725">
        <f>AA7-(103+1)</f>
        <v>832</v>
      </c>
      <c r="AG7" s="726"/>
      <c r="AH7" s="726"/>
      <c r="AI7" s="726"/>
      <c r="AJ7" s="727"/>
      <c r="AK7" s="762">
        <f>820+1</f>
        <v>821</v>
      </c>
      <c r="AL7" s="763"/>
      <c r="AM7" s="763"/>
      <c r="AN7" s="763"/>
      <c r="AO7" s="763"/>
      <c r="AP7" s="763">
        <f>16024+1</f>
        <v>16025</v>
      </c>
      <c r="AQ7" s="763"/>
      <c r="AR7" s="763"/>
      <c r="AS7" s="763"/>
      <c r="AT7" s="763"/>
      <c r="AU7" s="764" t="s">
        <v>549</v>
      </c>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544</v>
      </c>
      <c r="BT7" s="768"/>
      <c r="BU7" s="768"/>
      <c r="BV7" s="768"/>
      <c r="BW7" s="768"/>
      <c r="BX7" s="768"/>
      <c r="BY7" s="768"/>
      <c r="BZ7" s="768"/>
      <c r="CA7" s="768"/>
      <c r="CB7" s="768"/>
      <c r="CC7" s="768"/>
      <c r="CD7" s="768"/>
      <c r="CE7" s="768"/>
      <c r="CF7" s="768"/>
      <c r="CG7" s="769"/>
      <c r="CH7" s="759">
        <f>-(35+1)</f>
        <v>-36</v>
      </c>
      <c r="CI7" s="760"/>
      <c r="CJ7" s="760"/>
      <c r="CK7" s="760"/>
      <c r="CL7" s="761"/>
      <c r="CM7" s="759">
        <f>143+1</f>
        <v>144</v>
      </c>
      <c r="CN7" s="760"/>
      <c r="CO7" s="760"/>
      <c r="CP7" s="760"/>
      <c r="CQ7" s="761"/>
      <c r="CR7" s="759">
        <f>155</f>
        <v>155</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546</v>
      </c>
      <c r="BS8" s="756" t="s">
        <v>545</v>
      </c>
      <c r="BT8" s="757"/>
      <c r="BU8" s="757"/>
      <c r="BV8" s="757"/>
      <c r="BW8" s="757"/>
      <c r="BX8" s="757"/>
      <c r="BY8" s="757"/>
      <c r="BZ8" s="757"/>
      <c r="CA8" s="757"/>
      <c r="CB8" s="757"/>
      <c r="CC8" s="757"/>
      <c r="CD8" s="757"/>
      <c r="CE8" s="757"/>
      <c r="CF8" s="757"/>
      <c r="CG8" s="758"/>
      <c r="CH8" s="770">
        <f>57</f>
        <v>57</v>
      </c>
      <c r="CI8" s="771"/>
      <c r="CJ8" s="771"/>
      <c r="CK8" s="771"/>
      <c r="CL8" s="772"/>
      <c r="CM8" s="770">
        <f>427</f>
        <v>427</v>
      </c>
      <c r="CN8" s="771"/>
      <c r="CO8" s="771"/>
      <c r="CP8" s="771"/>
      <c r="CQ8" s="772"/>
      <c r="CR8" s="770">
        <f>5</f>
        <v>5</v>
      </c>
      <c r="CS8" s="771"/>
      <c r="CT8" s="771"/>
      <c r="CU8" s="771"/>
      <c r="CV8" s="772"/>
      <c r="CW8" s="770" t="s">
        <v>536</v>
      </c>
      <c r="CX8" s="771"/>
      <c r="CY8" s="771"/>
      <c r="CZ8" s="771"/>
      <c r="DA8" s="772"/>
      <c r="DB8" s="770" t="s">
        <v>536</v>
      </c>
      <c r="DC8" s="771"/>
      <c r="DD8" s="771"/>
      <c r="DE8" s="771"/>
      <c r="DF8" s="772"/>
      <c r="DG8" s="770">
        <f>710</f>
        <v>710</v>
      </c>
      <c r="DH8" s="771"/>
      <c r="DI8" s="771"/>
      <c r="DJ8" s="771"/>
      <c r="DK8" s="772"/>
      <c r="DL8" s="770" t="s">
        <v>536</v>
      </c>
      <c r="DM8" s="771"/>
      <c r="DN8" s="771"/>
      <c r="DO8" s="771"/>
      <c r="DP8" s="772"/>
      <c r="DQ8" s="770" t="s">
        <v>536</v>
      </c>
      <c r="DR8" s="771"/>
      <c r="DS8" s="771"/>
      <c r="DT8" s="771"/>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70">
        <v>-75</v>
      </c>
      <c r="CI9" s="771"/>
      <c r="CJ9" s="771"/>
      <c r="CK9" s="771"/>
      <c r="CL9" s="772"/>
      <c r="CM9" s="770">
        <v>-15</v>
      </c>
      <c r="CN9" s="771"/>
      <c r="CO9" s="771"/>
      <c r="CP9" s="771"/>
      <c r="CQ9" s="772"/>
      <c r="CR9" s="770">
        <v>5</v>
      </c>
      <c r="CS9" s="771"/>
      <c r="CT9" s="771"/>
      <c r="CU9" s="771"/>
      <c r="CV9" s="772"/>
      <c r="CW9" s="770">
        <f>67</f>
        <v>67</v>
      </c>
      <c r="CX9" s="771"/>
      <c r="CY9" s="771"/>
      <c r="CZ9" s="771"/>
      <c r="DA9" s="772"/>
      <c r="DB9" s="770">
        <v>171</v>
      </c>
      <c r="DC9" s="771"/>
      <c r="DD9" s="771"/>
      <c r="DE9" s="771"/>
      <c r="DF9" s="772"/>
      <c r="DG9" s="770" t="s">
        <v>536</v>
      </c>
      <c r="DH9" s="771"/>
      <c r="DI9" s="771"/>
      <c r="DJ9" s="771"/>
      <c r="DK9" s="772"/>
      <c r="DL9" s="770" t="s">
        <v>536</v>
      </c>
      <c r="DM9" s="771"/>
      <c r="DN9" s="771"/>
      <c r="DO9" s="771"/>
      <c r="DP9" s="772"/>
      <c r="DQ9" s="770" t="s">
        <v>536</v>
      </c>
      <c r="DR9" s="771"/>
      <c r="DS9" s="771"/>
      <c r="DT9" s="771"/>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367</v>
      </c>
      <c r="B23" s="779" t="s">
        <v>368</v>
      </c>
      <c r="C23" s="780"/>
      <c r="D23" s="780"/>
      <c r="E23" s="780"/>
      <c r="F23" s="780"/>
      <c r="G23" s="780"/>
      <c r="H23" s="780"/>
      <c r="I23" s="780"/>
      <c r="J23" s="780"/>
      <c r="K23" s="780"/>
      <c r="L23" s="780"/>
      <c r="M23" s="780"/>
      <c r="N23" s="780"/>
      <c r="O23" s="780"/>
      <c r="P23" s="781"/>
      <c r="Q23" s="782">
        <f>SUM(Q7:U22)</f>
        <v>16913</v>
      </c>
      <c r="R23" s="783"/>
      <c r="S23" s="783"/>
      <c r="T23" s="783"/>
      <c r="U23" s="783"/>
      <c r="V23" s="783">
        <f>SUM(V7:Z22)</f>
        <v>15977</v>
      </c>
      <c r="W23" s="783"/>
      <c r="X23" s="783"/>
      <c r="Y23" s="783"/>
      <c r="Z23" s="783"/>
      <c r="AA23" s="783">
        <f>SUM(AA7:AE22)</f>
        <v>936</v>
      </c>
      <c r="AB23" s="783"/>
      <c r="AC23" s="783"/>
      <c r="AD23" s="783"/>
      <c r="AE23" s="784"/>
      <c r="AF23" s="785">
        <f>SUM(AF7:AJ22)</f>
        <v>832</v>
      </c>
      <c r="AG23" s="783"/>
      <c r="AH23" s="783"/>
      <c r="AI23" s="783"/>
      <c r="AJ23" s="786"/>
      <c r="AK23" s="787"/>
      <c r="AL23" s="788"/>
      <c r="AM23" s="788"/>
      <c r="AN23" s="788"/>
      <c r="AO23" s="788"/>
      <c r="AP23" s="783">
        <f>SUM(AP7:AT22)</f>
        <v>16025</v>
      </c>
      <c r="AQ23" s="783"/>
      <c r="AR23" s="783"/>
      <c r="AS23" s="783"/>
      <c r="AT23" s="783"/>
      <c r="AU23" s="789"/>
      <c r="AV23" s="789"/>
      <c r="AW23" s="789"/>
      <c r="AX23" s="789"/>
      <c r="AY23" s="790"/>
      <c r="AZ23" s="798" t="s">
        <v>222</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1" t="s">
        <v>374</v>
      </c>
      <c r="AG26" s="802"/>
      <c r="AH26" s="802"/>
      <c r="AI26" s="802"/>
      <c r="AJ26" s="803"/>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1">
        <f>3973+1</f>
        <v>3974</v>
      </c>
      <c r="R28" s="812"/>
      <c r="S28" s="812"/>
      <c r="T28" s="812"/>
      <c r="U28" s="812"/>
      <c r="V28" s="812">
        <f>3781+1</f>
        <v>3782</v>
      </c>
      <c r="W28" s="812"/>
      <c r="X28" s="812"/>
      <c r="Y28" s="812"/>
      <c r="Z28" s="812"/>
      <c r="AA28" s="812">
        <f>Q28-V28</f>
        <v>192</v>
      </c>
      <c r="AB28" s="812"/>
      <c r="AC28" s="812"/>
      <c r="AD28" s="812"/>
      <c r="AE28" s="813"/>
      <c r="AF28" s="814">
        <f>AA28</f>
        <v>192</v>
      </c>
      <c r="AG28" s="812"/>
      <c r="AH28" s="812"/>
      <c r="AI28" s="812"/>
      <c r="AJ28" s="815"/>
      <c r="AK28" s="816">
        <f>240</f>
        <v>240</v>
      </c>
      <c r="AL28" s="807"/>
      <c r="AM28" s="807"/>
      <c r="AN28" s="807"/>
      <c r="AO28" s="807"/>
      <c r="AP28" s="807" t="s">
        <v>476</v>
      </c>
      <c r="AQ28" s="807"/>
      <c r="AR28" s="807"/>
      <c r="AS28" s="807"/>
      <c r="AT28" s="807"/>
      <c r="AU28" s="807" t="s">
        <v>476</v>
      </c>
      <c r="AV28" s="807"/>
      <c r="AW28" s="807"/>
      <c r="AX28" s="807"/>
      <c r="AY28" s="807"/>
      <c r="AZ28" s="808" t="s">
        <v>476</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44.25" customHeight="1">
      <c r="A29" s="217">
        <v>2</v>
      </c>
      <c r="B29" s="743" t="s">
        <v>380</v>
      </c>
      <c r="C29" s="744"/>
      <c r="D29" s="744"/>
      <c r="E29" s="744"/>
      <c r="F29" s="744"/>
      <c r="G29" s="744"/>
      <c r="H29" s="744"/>
      <c r="I29" s="744"/>
      <c r="J29" s="744"/>
      <c r="K29" s="744"/>
      <c r="L29" s="744"/>
      <c r="M29" s="744"/>
      <c r="N29" s="744"/>
      <c r="O29" s="744"/>
      <c r="P29" s="745"/>
      <c r="Q29" s="746">
        <f>268+1</f>
        <v>269</v>
      </c>
      <c r="R29" s="747"/>
      <c r="S29" s="747"/>
      <c r="T29" s="747"/>
      <c r="U29" s="747"/>
      <c r="V29" s="747">
        <f>251</f>
        <v>251</v>
      </c>
      <c r="W29" s="747"/>
      <c r="X29" s="747"/>
      <c r="Y29" s="747"/>
      <c r="Z29" s="747"/>
      <c r="AA29" s="747">
        <f>Q29-V29</f>
        <v>18</v>
      </c>
      <c r="AB29" s="747"/>
      <c r="AC29" s="747"/>
      <c r="AD29" s="747"/>
      <c r="AE29" s="748"/>
      <c r="AF29" s="749">
        <f>AA29</f>
        <v>18</v>
      </c>
      <c r="AG29" s="750"/>
      <c r="AH29" s="750"/>
      <c r="AI29" s="750"/>
      <c r="AJ29" s="751"/>
      <c r="AK29" s="820">
        <f>93</f>
        <v>93</v>
      </c>
      <c r="AL29" s="821"/>
      <c r="AM29" s="821"/>
      <c r="AN29" s="821"/>
      <c r="AO29" s="821"/>
      <c r="AP29" s="821">
        <f>136</f>
        <v>136</v>
      </c>
      <c r="AQ29" s="821"/>
      <c r="AR29" s="821"/>
      <c r="AS29" s="821"/>
      <c r="AT29" s="821"/>
      <c r="AU29" s="821">
        <f>49+1</f>
        <v>50</v>
      </c>
      <c r="AV29" s="821"/>
      <c r="AW29" s="821"/>
      <c r="AX29" s="821"/>
      <c r="AY29" s="821"/>
      <c r="AZ29" s="822" t="s">
        <v>476</v>
      </c>
      <c r="BA29" s="822"/>
      <c r="BB29" s="822"/>
      <c r="BC29" s="822"/>
      <c r="BD29" s="822"/>
      <c r="BE29" s="817" t="s">
        <v>547</v>
      </c>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f>334+1</f>
        <v>335</v>
      </c>
      <c r="R30" s="747"/>
      <c r="S30" s="747"/>
      <c r="T30" s="747"/>
      <c r="U30" s="747"/>
      <c r="V30" s="747">
        <f>331+1</f>
        <v>332</v>
      </c>
      <c r="W30" s="747"/>
      <c r="X30" s="747"/>
      <c r="Y30" s="747"/>
      <c r="Z30" s="747"/>
      <c r="AA30" s="747">
        <f t="shared" ref="AA30:AA34" si="0">Q30-V30</f>
        <v>3</v>
      </c>
      <c r="AB30" s="747"/>
      <c r="AC30" s="747"/>
      <c r="AD30" s="747"/>
      <c r="AE30" s="748"/>
      <c r="AF30" s="749">
        <f>AA30</f>
        <v>3</v>
      </c>
      <c r="AG30" s="750"/>
      <c r="AH30" s="750"/>
      <c r="AI30" s="750"/>
      <c r="AJ30" s="751"/>
      <c r="AK30" s="820">
        <f>71+1</f>
        <v>72</v>
      </c>
      <c r="AL30" s="821"/>
      <c r="AM30" s="821"/>
      <c r="AN30" s="821"/>
      <c r="AO30" s="821"/>
      <c r="AP30" s="821" t="s">
        <v>476</v>
      </c>
      <c r="AQ30" s="821"/>
      <c r="AR30" s="821"/>
      <c r="AS30" s="821"/>
      <c r="AT30" s="821"/>
      <c r="AU30" s="821" t="s">
        <v>476</v>
      </c>
      <c r="AV30" s="821"/>
      <c r="AW30" s="821"/>
      <c r="AX30" s="821"/>
      <c r="AY30" s="821"/>
      <c r="AZ30" s="822" t="s">
        <v>476</v>
      </c>
      <c r="BA30" s="822"/>
      <c r="BB30" s="822"/>
      <c r="BC30" s="822"/>
      <c r="BD30" s="822"/>
      <c r="BE30" s="823"/>
      <c r="BF30" s="823"/>
      <c r="BG30" s="823"/>
      <c r="BH30" s="823"/>
      <c r="BI30" s="824"/>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f>560+1</f>
        <v>561</v>
      </c>
      <c r="R31" s="747"/>
      <c r="S31" s="747"/>
      <c r="T31" s="747"/>
      <c r="U31" s="747"/>
      <c r="V31" s="747">
        <f>549</f>
        <v>549</v>
      </c>
      <c r="W31" s="747"/>
      <c r="X31" s="747"/>
      <c r="Y31" s="747"/>
      <c r="Z31" s="747"/>
      <c r="AA31" s="747">
        <f>Q31-V31</f>
        <v>12</v>
      </c>
      <c r="AB31" s="747"/>
      <c r="AC31" s="747"/>
      <c r="AD31" s="747"/>
      <c r="AE31" s="748"/>
      <c r="AF31" s="749">
        <v>683</v>
      </c>
      <c r="AG31" s="750"/>
      <c r="AH31" s="750"/>
      <c r="AI31" s="750"/>
      <c r="AJ31" s="751"/>
      <c r="AK31" s="820">
        <f>154</f>
        <v>154</v>
      </c>
      <c r="AL31" s="821"/>
      <c r="AM31" s="821"/>
      <c r="AN31" s="821"/>
      <c r="AO31" s="821"/>
      <c r="AP31" s="821">
        <f>3375</f>
        <v>3375</v>
      </c>
      <c r="AQ31" s="821"/>
      <c r="AR31" s="821"/>
      <c r="AS31" s="821"/>
      <c r="AT31" s="821"/>
      <c r="AU31" s="821">
        <f>1066+1</f>
        <v>1067</v>
      </c>
      <c r="AV31" s="821"/>
      <c r="AW31" s="821"/>
      <c r="AX31" s="821"/>
      <c r="AY31" s="821"/>
      <c r="AZ31" s="822" t="s">
        <v>476</v>
      </c>
      <c r="BA31" s="822"/>
      <c r="BB31" s="822"/>
      <c r="BC31" s="822"/>
      <c r="BD31" s="822"/>
      <c r="BE31" s="823" t="s">
        <v>383</v>
      </c>
      <c r="BF31" s="823"/>
      <c r="BG31" s="823"/>
      <c r="BH31" s="823"/>
      <c r="BI31" s="824"/>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f>390</f>
        <v>390</v>
      </c>
      <c r="R32" s="747"/>
      <c r="S32" s="747"/>
      <c r="T32" s="747"/>
      <c r="U32" s="747"/>
      <c r="V32" s="747">
        <f>379</f>
        <v>379</v>
      </c>
      <c r="W32" s="747"/>
      <c r="X32" s="747"/>
      <c r="Y32" s="747"/>
      <c r="Z32" s="747"/>
      <c r="AA32" s="747">
        <f t="shared" si="0"/>
        <v>11</v>
      </c>
      <c r="AB32" s="747"/>
      <c r="AC32" s="747"/>
      <c r="AD32" s="747"/>
      <c r="AE32" s="748"/>
      <c r="AF32" s="749">
        <f>AA32</f>
        <v>11</v>
      </c>
      <c r="AG32" s="750"/>
      <c r="AH32" s="750"/>
      <c r="AI32" s="750"/>
      <c r="AJ32" s="751"/>
      <c r="AK32" s="820">
        <f>243+1</f>
        <v>244</v>
      </c>
      <c r="AL32" s="821"/>
      <c r="AM32" s="821"/>
      <c r="AN32" s="821"/>
      <c r="AO32" s="821"/>
      <c r="AP32" s="821">
        <f>2515</f>
        <v>2515</v>
      </c>
      <c r="AQ32" s="821"/>
      <c r="AR32" s="821"/>
      <c r="AS32" s="821"/>
      <c r="AT32" s="821"/>
      <c r="AU32" s="821">
        <f>2293+1</f>
        <v>2294</v>
      </c>
      <c r="AV32" s="821"/>
      <c r="AW32" s="821"/>
      <c r="AX32" s="821"/>
      <c r="AY32" s="821"/>
      <c r="AZ32" s="822" t="s">
        <v>476</v>
      </c>
      <c r="BA32" s="822"/>
      <c r="BB32" s="822"/>
      <c r="BC32" s="822"/>
      <c r="BD32" s="822"/>
      <c r="BE32" s="823" t="s">
        <v>385</v>
      </c>
      <c r="BF32" s="823"/>
      <c r="BG32" s="823"/>
      <c r="BH32" s="823"/>
      <c r="BI32" s="824"/>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f>657+1</f>
        <v>658</v>
      </c>
      <c r="R33" s="747"/>
      <c r="S33" s="747"/>
      <c r="T33" s="747"/>
      <c r="U33" s="747"/>
      <c r="V33" s="747">
        <f>642</f>
        <v>642</v>
      </c>
      <c r="W33" s="747"/>
      <c r="X33" s="747"/>
      <c r="Y33" s="747"/>
      <c r="Z33" s="747"/>
      <c r="AA33" s="747">
        <f>Q33-V33</f>
        <v>16</v>
      </c>
      <c r="AB33" s="747"/>
      <c r="AC33" s="747"/>
      <c r="AD33" s="747"/>
      <c r="AE33" s="748"/>
      <c r="AF33" s="749">
        <f>AA33</f>
        <v>16</v>
      </c>
      <c r="AG33" s="750"/>
      <c r="AH33" s="750"/>
      <c r="AI33" s="750"/>
      <c r="AJ33" s="751"/>
      <c r="AK33" s="820">
        <f>466</f>
        <v>466</v>
      </c>
      <c r="AL33" s="821"/>
      <c r="AM33" s="821"/>
      <c r="AN33" s="821"/>
      <c r="AO33" s="821"/>
      <c r="AP33" s="821">
        <f>4564</f>
        <v>4564</v>
      </c>
      <c r="AQ33" s="821"/>
      <c r="AR33" s="821"/>
      <c r="AS33" s="821"/>
      <c r="AT33" s="821"/>
      <c r="AU33" s="821">
        <f>AP33</f>
        <v>4564</v>
      </c>
      <c r="AV33" s="821"/>
      <c r="AW33" s="821"/>
      <c r="AX33" s="821"/>
      <c r="AY33" s="821"/>
      <c r="AZ33" s="822" t="s">
        <v>476</v>
      </c>
      <c r="BA33" s="822"/>
      <c r="BB33" s="822"/>
      <c r="BC33" s="822"/>
      <c r="BD33" s="822"/>
      <c r="BE33" s="823" t="s">
        <v>385</v>
      </c>
      <c r="BF33" s="823"/>
      <c r="BG33" s="823"/>
      <c r="BH33" s="823"/>
      <c r="BI33" s="824"/>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f>477</f>
        <v>477</v>
      </c>
      <c r="R34" s="747"/>
      <c r="S34" s="747"/>
      <c r="T34" s="747"/>
      <c r="U34" s="747"/>
      <c r="V34" s="747">
        <f>462</f>
        <v>462</v>
      </c>
      <c r="W34" s="747"/>
      <c r="X34" s="747"/>
      <c r="Y34" s="747"/>
      <c r="Z34" s="747"/>
      <c r="AA34" s="747">
        <f t="shared" si="0"/>
        <v>15</v>
      </c>
      <c r="AB34" s="747"/>
      <c r="AC34" s="747"/>
      <c r="AD34" s="747"/>
      <c r="AE34" s="748"/>
      <c r="AF34" s="749">
        <f>AA34</f>
        <v>15</v>
      </c>
      <c r="AG34" s="750"/>
      <c r="AH34" s="750"/>
      <c r="AI34" s="750"/>
      <c r="AJ34" s="751"/>
      <c r="AK34" s="820">
        <f>241</f>
        <v>241</v>
      </c>
      <c r="AL34" s="821"/>
      <c r="AM34" s="821"/>
      <c r="AN34" s="821"/>
      <c r="AO34" s="821"/>
      <c r="AP34" s="821">
        <f>2996+1</f>
        <v>2997</v>
      </c>
      <c r="AQ34" s="821"/>
      <c r="AR34" s="821"/>
      <c r="AS34" s="821"/>
      <c r="AT34" s="821"/>
      <c r="AU34" s="821">
        <f>2903+1</f>
        <v>2904</v>
      </c>
      <c r="AV34" s="821"/>
      <c r="AW34" s="821"/>
      <c r="AX34" s="821"/>
      <c r="AY34" s="821"/>
      <c r="AZ34" s="822" t="s">
        <v>476</v>
      </c>
      <c r="BA34" s="822"/>
      <c r="BB34" s="822"/>
      <c r="BC34" s="822"/>
      <c r="BD34" s="822"/>
      <c r="BE34" s="823" t="s">
        <v>385</v>
      </c>
      <c r="BF34" s="823"/>
      <c r="BG34" s="823"/>
      <c r="BH34" s="823"/>
      <c r="BI34" s="824"/>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2"/>
      <c r="BB35" s="822"/>
      <c r="BC35" s="822"/>
      <c r="BD35" s="822"/>
      <c r="BE35" s="823"/>
      <c r="BF35" s="823"/>
      <c r="BG35" s="823"/>
      <c r="BH35" s="823"/>
      <c r="BI35" s="824"/>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2"/>
      <c r="BA36" s="822"/>
      <c r="BB36" s="822"/>
      <c r="BC36" s="822"/>
      <c r="BD36" s="822"/>
      <c r="BE36" s="823"/>
      <c r="BF36" s="823"/>
      <c r="BG36" s="823"/>
      <c r="BH36" s="823"/>
      <c r="BI36" s="824"/>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2"/>
      <c r="BA37" s="822"/>
      <c r="BB37" s="822"/>
      <c r="BC37" s="822"/>
      <c r="BD37" s="822"/>
      <c r="BE37" s="823"/>
      <c r="BF37" s="823"/>
      <c r="BG37" s="823"/>
      <c r="BH37" s="823"/>
      <c r="BI37" s="824"/>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2"/>
      <c r="BA38" s="822"/>
      <c r="BB38" s="822"/>
      <c r="BC38" s="822"/>
      <c r="BD38" s="822"/>
      <c r="BE38" s="823"/>
      <c r="BF38" s="823"/>
      <c r="BG38" s="823"/>
      <c r="BH38" s="823"/>
      <c r="BI38" s="824"/>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23"/>
      <c r="BF50" s="823"/>
      <c r="BG50" s="823"/>
      <c r="BH50" s="823"/>
      <c r="BI50" s="824"/>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23"/>
      <c r="BF51" s="823"/>
      <c r="BG51" s="823"/>
      <c r="BH51" s="823"/>
      <c r="BI51" s="824"/>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23"/>
      <c r="BF52" s="823"/>
      <c r="BG52" s="823"/>
      <c r="BH52" s="823"/>
      <c r="BI52" s="824"/>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23"/>
      <c r="BF53" s="823"/>
      <c r="BG53" s="823"/>
      <c r="BH53" s="823"/>
      <c r="BI53" s="824"/>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23"/>
      <c r="BF54" s="823"/>
      <c r="BG54" s="823"/>
      <c r="BH54" s="823"/>
      <c r="BI54" s="824"/>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23"/>
      <c r="BF55" s="823"/>
      <c r="BG55" s="823"/>
      <c r="BH55" s="823"/>
      <c r="BI55" s="824"/>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23"/>
      <c r="BF56" s="823"/>
      <c r="BG56" s="823"/>
      <c r="BH56" s="823"/>
      <c r="BI56" s="824"/>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23"/>
      <c r="BF57" s="823"/>
      <c r="BG57" s="823"/>
      <c r="BH57" s="823"/>
      <c r="BI57" s="824"/>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23"/>
      <c r="BF58" s="823"/>
      <c r="BG58" s="823"/>
      <c r="BH58" s="823"/>
      <c r="BI58" s="824"/>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23"/>
      <c r="BF59" s="823"/>
      <c r="BG59" s="823"/>
      <c r="BH59" s="823"/>
      <c r="BI59" s="824"/>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23"/>
      <c r="BF60" s="823"/>
      <c r="BG60" s="823"/>
      <c r="BH60" s="823"/>
      <c r="BI60" s="824"/>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23"/>
      <c r="BF61" s="823"/>
      <c r="BG61" s="823"/>
      <c r="BH61" s="823"/>
      <c r="BI61" s="824"/>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23"/>
      <c r="BF62" s="823"/>
      <c r="BG62" s="823"/>
      <c r="BH62" s="823"/>
      <c r="BI62" s="824"/>
      <c r="BJ62" s="837" t="s">
        <v>388</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367</v>
      </c>
      <c r="B63" s="779" t="s">
        <v>389</v>
      </c>
      <c r="C63" s="780"/>
      <c r="D63" s="780"/>
      <c r="E63" s="780"/>
      <c r="F63" s="780"/>
      <c r="G63" s="780"/>
      <c r="H63" s="780"/>
      <c r="I63" s="780"/>
      <c r="J63" s="780"/>
      <c r="K63" s="780"/>
      <c r="L63" s="780"/>
      <c r="M63" s="780"/>
      <c r="N63" s="780"/>
      <c r="O63" s="780"/>
      <c r="P63" s="781"/>
      <c r="Q63" s="830"/>
      <c r="R63" s="831"/>
      <c r="S63" s="831"/>
      <c r="T63" s="831"/>
      <c r="U63" s="831"/>
      <c r="V63" s="831"/>
      <c r="W63" s="831"/>
      <c r="X63" s="831"/>
      <c r="Y63" s="831"/>
      <c r="Z63" s="831"/>
      <c r="AA63" s="831"/>
      <c r="AB63" s="831"/>
      <c r="AC63" s="831"/>
      <c r="AD63" s="831"/>
      <c r="AE63" s="832"/>
      <c r="AF63" s="833">
        <f>SUM(AF28:AJ62)-1</f>
        <v>937</v>
      </c>
      <c r="AG63" s="834"/>
      <c r="AH63" s="834"/>
      <c r="AI63" s="834"/>
      <c r="AJ63" s="835"/>
      <c r="AK63" s="836"/>
      <c r="AL63" s="831"/>
      <c r="AM63" s="831"/>
      <c r="AN63" s="831"/>
      <c r="AO63" s="831"/>
      <c r="AP63" s="834">
        <f>SUM(AP28:AT62)</f>
        <v>13587</v>
      </c>
      <c r="AQ63" s="834"/>
      <c r="AR63" s="834"/>
      <c r="AS63" s="834"/>
      <c r="AT63" s="834"/>
      <c r="AU63" s="834">
        <f>SUM(AU28:AY62)</f>
        <v>10879</v>
      </c>
      <c r="AV63" s="834"/>
      <c r="AW63" s="834"/>
      <c r="AX63" s="834"/>
      <c r="AY63" s="834"/>
      <c r="AZ63" s="838"/>
      <c r="BA63" s="838"/>
      <c r="BB63" s="838"/>
      <c r="BC63" s="838"/>
      <c r="BD63" s="838"/>
      <c r="BE63" s="839"/>
      <c r="BF63" s="839"/>
      <c r="BG63" s="839"/>
      <c r="BH63" s="839"/>
      <c r="BI63" s="840"/>
      <c r="BJ63" s="841" t="s">
        <v>536</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4" t="s">
        <v>374</v>
      </c>
      <c r="AG66" s="802"/>
      <c r="AH66" s="802"/>
      <c r="AI66" s="802"/>
      <c r="AJ66" s="845"/>
      <c r="AK66" s="705" t="s">
        <v>375</v>
      </c>
      <c r="AL66" s="729"/>
      <c r="AM66" s="729"/>
      <c r="AN66" s="729"/>
      <c r="AO66" s="730"/>
      <c r="AP66" s="705" t="s">
        <v>376</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5"/>
      <c r="AH67" s="805"/>
      <c r="AI67" s="805"/>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534</v>
      </c>
      <c r="C68" s="862"/>
      <c r="D68" s="862"/>
      <c r="E68" s="862"/>
      <c r="F68" s="862"/>
      <c r="G68" s="862"/>
      <c r="H68" s="862"/>
      <c r="I68" s="862"/>
      <c r="J68" s="862"/>
      <c r="K68" s="862"/>
      <c r="L68" s="862"/>
      <c r="M68" s="862"/>
      <c r="N68" s="862"/>
      <c r="O68" s="862"/>
      <c r="P68" s="863"/>
      <c r="Q68" s="864">
        <f>2057</f>
        <v>2057</v>
      </c>
      <c r="R68" s="858"/>
      <c r="S68" s="858"/>
      <c r="T68" s="858"/>
      <c r="U68" s="858"/>
      <c r="V68" s="858">
        <f>2026</f>
        <v>2026</v>
      </c>
      <c r="W68" s="858"/>
      <c r="X68" s="858"/>
      <c r="Y68" s="858"/>
      <c r="Z68" s="858"/>
      <c r="AA68" s="858">
        <f t="shared" ref="AA68:AA76" si="1">Q68-V68</f>
        <v>31</v>
      </c>
      <c r="AB68" s="858"/>
      <c r="AC68" s="858"/>
      <c r="AD68" s="858"/>
      <c r="AE68" s="858"/>
      <c r="AF68" s="858">
        <f>11</f>
        <v>11</v>
      </c>
      <c r="AG68" s="858"/>
      <c r="AH68" s="858"/>
      <c r="AI68" s="858"/>
      <c r="AJ68" s="858"/>
      <c r="AK68" s="858">
        <f>160</f>
        <v>160</v>
      </c>
      <c r="AL68" s="858"/>
      <c r="AM68" s="858"/>
      <c r="AN68" s="858"/>
      <c r="AO68" s="858"/>
      <c r="AP68" s="858">
        <f>1058</f>
        <v>1058</v>
      </c>
      <c r="AQ68" s="858"/>
      <c r="AR68" s="858"/>
      <c r="AS68" s="858"/>
      <c r="AT68" s="858"/>
      <c r="AU68" s="858">
        <f>159+1</f>
        <v>160</v>
      </c>
      <c r="AV68" s="858"/>
      <c r="AW68" s="858"/>
      <c r="AX68" s="858"/>
      <c r="AY68" s="858"/>
      <c r="AZ68" s="859" t="s">
        <v>550</v>
      </c>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5" t="s">
        <v>535</v>
      </c>
      <c r="C69" s="866"/>
      <c r="D69" s="866"/>
      <c r="E69" s="866"/>
      <c r="F69" s="866"/>
      <c r="G69" s="866"/>
      <c r="H69" s="866"/>
      <c r="I69" s="866"/>
      <c r="J69" s="866"/>
      <c r="K69" s="866"/>
      <c r="L69" s="866"/>
      <c r="M69" s="866"/>
      <c r="N69" s="866"/>
      <c r="O69" s="866"/>
      <c r="P69" s="867"/>
      <c r="Q69" s="868">
        <f>755</f>
        <v>755</v>
      </c>
      <c r="R69" s="821"/>
      <c r="S69" s="821"/>
      <c r="T69" s="821"/>
      <c r="U69" s="821"/>
      <c r="V69" s="821">
        <f>739</f>
        <v>739</v>
      </c>
      <c r="W69" s="821"/>
      <c r="X69" s="821"/>
      <c r="Y69" s="821"/>
      <c r="Z69" s="821"/>
      <c r="AA69" s="821">
        <f t="shared" si="1"/>
        <v>16</v>
      </c>
      <c r="AB69" s="821"/>
      <c r="AC69" s="821"/>
      <c r="AD69" s="821"/>
      <c r="AE69" s="821"/>
      <c r="AF69" s="821">
        <f t="shared" ref="AF69:AF76" si="2">AA69</f>
        <v>16</v>
      </c>
      <c r="AG69" s="821"/>
      <c r="AH69" s="821"/>
      <c r="AI69" s="821"/>
      <c r="AJ69" s="821"/>
      <c r="AK69" s="821">
        <f>1+1</f>
        <v>2</v>
      </c>
      <c r="AL69" s="821"/>
      <c r="AM69" s="821"/>
      <c r="AN69" s="821"/>
      <c r="AO69" s="821"/>
      <c r="AP69" s="821">
        <v>164</v>
      </c>
      <c r="AQ69" s="821"/>
      <c r="AR69" s="821"/>
      <c r="AS69" s="821"/>
      <c r="AT69" s="821"/>
      <c r="AU69" s="821">
        <f>114+1</f>
        <v>115</v>
      </c>
      <c r="AV69" s="821"/>
      <c r="AW69" s="821"/>
      <c r="AX69" s="821"/>
      <c r="AY69" s="821"/>
      <c r="AZ69" s="818" t="s">
        <v>551</v>
      </c>
      <c r="BA69" s="818"/>
      <c r="BB69" s="818"/>
      <c r="BC69" s="818"/>
      <c r="BD69" s="819"/>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5" t="s">
        <v>537</v>
      </c>
      <c r="C70" s="866"/>
      <c r="D70" s="866"/>
      <c r="E70" s="866"/>
      <c r="F70" s="866"/>
      <c r="G70" s="866"/>
      <c r="H70" s="866"/>
      <c r="I70" s="866"/>
      <c r="J70" s="866"/>
      <c r="K70" s="866"/>
      <c r="L70" s="866"/>
      <c r="M70" s="866"/>
      <c r="N70" s="866"/>
      <c r="O70" s="866"/>
      <c r="P70" s="867"/>
      <c r="Q70" s="868">
        <f>539+1</f>
        <v>540</v>
      </c>
      <c r="R70" s="821"/>
      <c r="S70" s="821"/>
      <c r="T70" s="821"/>
      <c r="U70" s="821"/>
      <c r="V70" s="821">
        <f>496</f>
        <v>496</v>
      </c>
      <c r="W70" s="821"/>
      <c r="X70" s="821"/>
      <c r="Y70" s="821"/>
      <c r="Z70" s="821"/>
      <c r="AA70" s="821">
        <f t="shared" si="1"/>
        <v>44</v>
      </c>
      <c r="AB70" s="821"/>
      <c r="AC70" s="821"/>
      <c r="AD70" s="821"/>
      <c r="AE70" s="821"/>
      <c r="AF70" s="821">
        <f t="shared" si="2"/>
        <v>44</v>
      </c>
      <c r="AG70" s="821"/>
      <c r="AH70" s="821"/>
      <c r="AI70" s="821"/>
      <c r="AJ70" s="821"/>
      <c r="AK70" s="821">
        <f>85</f>
        <v>85</v>
      </c>
      <c r="AL70" s="821"/>
      <c r="AM70" s="821"/>
      <c r="AN70" s="821"/>
      <c r="AO70" s="821"/>
      <c r="AP70" s="821">
        <f>93</f>
        <v>93</v>
      </c>
      <c r="AQ70" s="821"/>
      <c r="AR70" s="821"/>
      <c r="AS70" s="821"/>
      <c r="AT70" s="821"/>
      <c r="AU70" s="821">
        <f>30</f>
        <v>30</v>
      </c>
      <c r="AV70" s="821"/>
      <c r="AW70" s="821"/>
      <c r="AX70" s="821"/>
      <c r="AY70" s="821"/>
      <c r="AZ70" s="818" t="s">
        <v>553</v>
      </c>
      <c r="BA70" s="818"/>
      <c r="BB70" s="818"/>
      <c r="BC70" s="818"/>
      <c r="BD70" s="819"/>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5" t="s">
        <v>538</v>
      </c>
      <c r="C71" s="866"/>
      <c r="D71" s="866"/>
      <c r="E71" s="866"/>
      <c r="F71" s="866"/>
      <c r="G71" s="866"/>
      <c r="H71" s="866"/>
      <c r="I71" s="866"/>
      <c r="J71" s="866"/>
      <c r="K71" s="866"/>
      <c r="L71" s="866"/>
      <c r="M71" s="866"/>
      <c r="N71" s="866"/>
      <c r="O71" s="866"/>
      <c r="P71" s="867"/>
      <c r="Q71" s="868">
        <f>6409+1</f>
        <v>6410</v>
      </c>
      <c r="R71" s="821"/>
      <c r="S71" s="821"/>
      <c r="T71" s="821"/>
      <c r="U71" s="821"/>
      <c r="V71" s="821">
        <f>6164+1</f>
        <v>6165</v>
      </c>
      <c r="W71" s="821"/>
      <c r="X71" s="821"/>
      <c r="Y71" s="821"/>
      <c r="Z71" s="821"/>
      <c r="AA71" s="821">
        <f t="shared" si="1"/>
        <v>245</v>
      </c>
      <c r="AB71" s="821"/>
      <c r="AC71" s="821"/>
      <c r="AD71" s="821"/>
      <c r="AE71" s="821"/>
      <c r="AF71" s="821">
        <f t="shared" si="2"/>
        <v>245</v>
      </c>
      <c r="AG71" s="821"/>
      <c r="AH71" s="821"/>
      <c r="AI71" s="821"/>
      <c r="AJ71" s="821"/>
      <c r="AK71" s="821">
        <f>97</f>
        <v>97</v>
      </c>
      <c r="AL71" s="821"/>
      <c r="AM71" s="821"/>
      <c r="AN71" s="821"/>
      <c r="AO71" s="821"/>
      <c r="AP71" s="821" t="s">
        <v>536</v>
      </c>
      <c r="AQ71" s="821"/>
      <c r="AR71" s="821"/>
      <c r="AS71" s="821"/>
      <c r="AT71" s="821"/>
      <c r="AU71" s="821" t="s">
        <v>536</v>
      </c>
      <c r="AV71" s="821"/>
      <c r="AW71" s="821"/>
      <c r="AX71" s="821"/>
      <c r="AY71" s="821"/>
      <c r="AZ71" s="818" t="s">
        <v>554</v>
      </c>
      <c r="BA71" s="818"/>
      <c r="BB71" s="818"/>
      <c r="BC71" s="818"/>
      <c r="BD71" s="819"/>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5" t="s">
        <v>539</v>
      </c>
      <c r="C72" s="866"/>
      <c r="D72" s="866"/>
      <c r="E72" s="866"/>
      <c r="F72" s="866"/>
      <c r="G72" s="866"/>
      <c r="H72" s="866"/>
      <c r="I72" s="866"/>
      <c r="J72" s="866"/>
      <c r="K72" s="866"/>
      <c r="L72" s="866"/>
      <c r="M72" s="866"/>
      <c r="N72" s="866"/>
      <c r="O72" s="866"/>
      <c r="P72" s="867"/>
      <c r="Q72" s="868">
        <f>920</f>
        <v>920</v>
      </c>
      <c r="R72" s="821"/>
      <c r="S72" s="821"/>
      <c r="T72" s="821"/>
      <c r="U72" s="821"/>
      <c r="V72" s="821">
        <f>842</f>
        <v>842</v>
      </c>
      <c r="W72" s="821"/>
      <c r="X72" s="821"/>
      <c r="Y72" s="821"/>
      <c r="Z72" s="821"/>
      <c r="AA72" s="821">
        <f t="shared" si="1"/>
        <v>78</v>
      </c>
      <c r="AB72" s="821"/>
      <c r="AC72" s="821"/>
      <c r="AD72" s="821"/>
      <c r="AE72" s="821"/>
      <c r="AF72" s="821">
        <f t="shared" si="2"/>
        <v>78</v>
      </c>
      <c r="AG72" s="821"/>
      <c r="AH72" s="821"/>
      <c r="AI72" s="821"/>
      <c r="AJ72" s="821"/>
      <c r="AK72" s="821">
        <f>70</f>
        <v>70</v>
      </c>
      <c r="AL72" s="821"/>
      <c r="AM72" s="821"/>
      <c r="AN72" s="821"/>
      <c r="AO72" s="821"/>
      <c r="AP72" s="821">
        <f>150+1</f>
        <v>151</v>
      </c>
      <c r="AQ72" s="821"/>
      <c r="AR72" s="821"/>
      <c r="AS72" s="821"/>
      <c r="AT72" s="821"/>
      <c r="AU72" s="821">
        <f>69</f>
        <v>69</v>
      </c>
      <c r="AV72" s="821"/>
      <c r="AW72" s="821"/>
      <c r="AX72" s="821"/>
      <c r="AY72" s="821"/>
      <c r="AZ72" s="818" t="s">
        <v>555</v>
      </c>
      <c r="BA72" s="818"/>
      <c r="BB72" s="818"/>
      <c r="BC72" s="818"/>
      <c r="BD72" s="819"/>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5" t="s">
        <v>540</v>
      </c>
      <c r="C73" s="866"/>
      <c r="D73" s="866"/>
      <c r="E73" s="866"/>
      <c r="F73" s="866"/>
      <c r="G73" s="866"/>
      <c r="H73" s="866"/>
      <c r="I73" s="866"/>
      <c r="J73" s="866"/>
      <c r="K73" s="866"/>
      <c r="L73" s="866"/>
      <c r="M73" s="866"/>
      <c r="N73" s="866"/>
      <c r="O73" s="866"/>
      <c r="P73" s="867"/>
      <c r="Q73" s="868">
        <f>67</f>
        <v>67</v>
      </c>
      <c r="R73" s="821"/>
      <c r="S73" s="821"/>
      <c r="T73" s="821"/>
      <c r="U73" s="821"/>
      <c r="V73" s="821">
        <f>66</f>
        <v>66</v>
      </c>
      <c r="W73" s="821"/>
      <c r="X73" s="821"/>
      <c r="Y73" s="821"/>
      <c r="Z73" s="821"/>
      <c r="AA73" s="821">
        <f t="shared" si="1"/>
        <v>1</v>
      </c>
      <c r="AB73" s="821"/>
      <c r="AC73" s="821"/>
      <c r="AD73" s="821"/>
      <c r="AE73" s="821"/>
      <c r="AF73" s="821">
        <f t="shared" si="2"/>
        <v>1</v>
      </c>
      <c r="AG73" s="821"/>
      <c r="AH73" s="821"/>
      <c r="AI73" s="821"/>
      <c r="AJ73" s="821"/>
      <c r="AK73" s="821" t="s">
        <v>536</v>
      </c>
      <c r="AL73" s="821"/>
      <c r="AM73" s="821"/>
      <c r="AN73" s="821"/>
      <c r="AO73" s="821"/>
      <c r="AP73" s="821" t="s">
        <v>536</v>
      </c>
      <c r="AQ73" s="821"/>
      <c r="AR73" s="821"/>
      <c r="AS73" s="821"/>
      <c r="AT73" s="821"/>
      <c r="AU73" s="821" t="s">
        <v>536</v>
      </c>
      <c r="AV73" s="821"/>
      <c r="AW73" s="821"/>
      <c r="AX73" s="821"/>
      <c r="AY73" s="821"/>
      <c r="AZ73" s="818"/>
      <c r="BA73" s="818"/>
      <c r="BB73" s="818"/>
      <c r="BC73" s="818"/>
      <c r="BD73" s="819"/>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5" t="s">
        <v>541</v>
      </c>
      <c r="C74" s="866"/>
      <c r="D74" s="866"/>
      <c r="E74" s="866"/>
      <c r="F74" s="866"/>
      <c r="G74" s="866"/>
      <c r="H74" s="866"/>
      <c r="I74" s="866"/>
      <c r="J74" s="866"/>
      <c r="K74" s="866"/>
      <c r="L74" s="866"/>
      <c r="M74" s="866"/>
      <c r="N74" s="866"/>
      <c r="O74" s="866"/>
      <c r="P74" s="867"/>
      <c r="Q74" s="868">
        <f>129</f>
        <v>129</v>
      </c>
      <c r="R74" s="821"/>
      <c r="S74" s="821"/>
      <c r="T74" s="821"/>
      <c r="U74" s="821"/>
      <c r="V74" s="821">
        <f>120</f>
        <v>120</v>
      </c>
      <c r="W74" s="821"/>
      <c r="X74" s="821"/>
      <c r="Y74" s="821"/>
      <c r="Z74" s="821"/>
      <c r="AA74" s="821">
        <f t="shared" si="1"/>
        <v>9</v>
      </c>
      <c r="AB74" s="821"/>
      <c r="AC74" s="821"/>
      <c r="AD74" s="821"/>
      <c r="AE74" s="821"/>
      <c r="AF74" s="821">
        <f t="shared" si="2"/>
        <v>9</v>
      </c>
      <c r="AG74" s="821"/>
      <c r="AH74" s="821"/>
      <c r="AI74" s="821"/>
      <c r="AJ74" s="821"/>
      <c r="AK74" s="821" t="s">
        <v>536</v>
      </c>
      <c r="AL74" s="821"/>
      <c r="AM74" s="821"/>
      <c r="AN74" s="821"/>
      <c r="AO74" s="821"/>
      <c r="AP74" s="821" t="s">
        <v>536</v>
      </c>
      <c r="AQ74" s="821"/>
      <c r="AR74" s="821"/>
      <c r="AS74" s="821"/>
      <c r="AT74" s="821"/>
      <c r="AU74" s="821" t="s">
        <v>536</v>
      </c>
      <c r="AV74" s="821"/>
      <c r="AW74" s="821"/>
      <c r="AX74" s="821"/>
      <c r="AY74" s="821"/>
      <c r="AZ74" s="818"/>
      <c r="BA74" s="818"/>
      <c r="BB74" s="818"/>
      <c r="BC74" s="818"/>
      <c r="BD74" s="819"/>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5" t="s">
        <v>542</v>
      </c>
      <c r="C75" s="866"/>
      <c r="D75" s="866"/>
      <c r="E75" s="866"/>
      <c r="F75" s="866"/>
      <c r="G75" s="866"/>
      <c r="H75" s="866"/>
      <c r="I75" s="866"/>
      <c r="J75" s="866"/>
      <c r="K75" s="866"/>
      <c r="L75" s="866"/>
      <c r="M75" s="866"/>
      <c r="N75" s="866"/>
      <c r="O75" s="866"/>
      <c r="P75" s="867"/>
      <c r="Q75" s="868">
        <f>1410</f>
        <v>1410</v>
      </c>
      <c r="R75" s="821"/>
      <c r="S75" s="821"/>
      <c r="T75" s="821"/>
      <c r="U75" s="821"/>
      <c r="V75" s="821">
        <f>1380</f>
        <v>1380</v>
      </c>
      <c r="W75" s="821"/>
      <c r="X75" s="821"/>
      <c r="Y75" s="821"/>
      <c r="Z75" s="821"/>
      <c r="AA75" s="821">
        <f t="shared" si="1"/>
        <v>30</v>
      </c>
      <c r="AB75" s="821"/>
      <c r="AC75" s="821"/>
      <c r="AD75" s="821"/>
      <c r="AE75" s="821"/>
      <c r="AF75" s="821">
        <f t="shared" si="2"/>
        <v>30</v>
      </c>
      <c r="AG75" s="821"/>
      <c r="AH75" s="821"/>
      <c r="AI75" s="821"/>
      <c r="AJ75" s="821"/>
      <c r="AK75" s="821" t="s">
        <v>536</v>
      </c>
      <c r="AL75" s="821"/>
      <c r="AM75" s="821"/>
      <c r="AN75" s="821"/>
      <c r="AO75" s="821"/>
      <c r="AP75" s="821" t="s">
        <v>536</v>
      </c>
      <c r="AQ75" s="821"/>
      <c r="AR75" s="821"/>
      <c r="AS75" s="821"/>
      <c r="AT75" s="821"/>
      <c r="AU75" s="821" t="s">
        <v>536</v>
      </c>
      <c r="AV75" s="821"/>
      <c r="AW75" s="821"/>
      <c r="AX75" s="821"/>
      <c r="AY75" s="821"/>
      <c r="AZ75" s="818"/>
      <c r="BA75" s="818"/>
      <c r="BB75" s="818"/>
      <c r="BC75" s="818"/>
      <c r="BD75" s="819"/>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5" t="s">
        <v>543</v>
      </c>
      <c r="C76" s="866"/>
      <c r="D76" s="866"/>
      <c r="E76" s="866"/>
      <c r="F76" s="866"/>
      <c r="G76" s="866"/>
      <c r="H76" s="866"/>
      <c r="I76" s="866"/>
      <c r="J76" s="866"/>
      <c r="K76" s="866"/>
      <c r="L76" s="866"/>
      <c r="M76" s="866"/>
      <c r="N76" s="866"/>
      <c r="O76" s="866"/>
      <c r="P76" s="867"/>
      <c r="Q76" s="871">
        <f>9682</f>
        <v>9682</v>
      </c>
      <c r="R76" s="870"/>
      <c r="S76" s="870"/>
      <c r="T76" s="870"/>
      <c r="U76" s="820"/>
      <c r="V76" s="869">
        <f>9651</f>
        <v>9651</v>
      </c>
      <c r="W76" s="870"/>
      <c r="X76" s="870"/>
      <c r="Y76" s="870"/>
      <c r="Z76" s="820"/>
      <c r="AA76" s="821">
        <f t="shared" si="1"/>
        <v>31</v>
      </c>
      <c r="AB76" s="821"/>
      <c r="AC76" s="821"/>
      <c r="AD76" s="821"/>
      <c r="AE76" s="821"/>
      <c r="AF76" s="821">
        <f t="shared" si="2"/>
        <v>31</v>
      </c>
      <c r="AG76" s="821"/>
      <c r="AH76" s="821"/>
      <c r="AI76" s="821"/>
      <c r="AJ76" s="821"/>
      <c r="AK76" s="869">
        <f>1660</f>
        <v>1660</v>
      </c>
      <c r="AL76" s="870"/>
      <c r="AM76" s="870"/>
      <c r="AN76" s="870"/>
      <c r="AO76" s="820"/>
      <c r="AP76" s="869" t="s">
        <v>536</v>
      </c>
      <c r="AQ76" s="870"/>
      <c r="AR76" s="870"/>
      <c r="AS76" s="870"/>
      <c r="AT76" s="820"/>
      <c r="AU76" s="869" t="s">
        <v>536</v>
      </c>
      <c r="AV76" s="870"/>
      <c r="AW76" s="870"/>
      <c r="AX76" s="870"/>
      <c r="AY76" s="820"/>
      <c r="AZ76" s="818" t="s">
        <v>552</v>
      </c>
      <c r="BA76" s="818"/>
      <c r="BB76" s="818"/>
      <c r="BC76" s="818"/>
      <c r="BD76" s="819"/>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71"/>
      <c r="R77" s="870"/>
      <c r="S77" s="870"/>
      <c r="T77" s="870"/>
      <c r="U77" s="820"/>
      <c r="V77" s="869"/>
      <c r="W77" s="870"/>
      <c r="X77" s="870"/>
      <c r="Y77" s="870"/>
      <c r="Z77" s="820"/>
      <c r="AA77" s="869"/>
      <c r="AB77" s="870"/>
      <c r="AC77" s="870"/>
      <c r="AD77" s="870"/>
      <c r="AE77" s="820"/>
      <c r="AF77" s="869"/>
      <c r="AG77" s="870"/>
      <c r="AH77" s="870"/>
      <c r="AI77" s="870"/>
      <c r="AJ77" s="820"/>
      <c r="AK77" s="869"/>
      <c r="AL77" s="870"/>
      <c r="AM77" s="870"/>
      <c r="AN77" s="870"/>
      <c r="AO77" s="820"/>
      <c r="AP77" s="869"/>
      <c r="AQ77" s="870"/>
      <c r="AR77" s="870"/>
      <c r="AS77" s="870"/>
      <c r="AT77" s="820"/>
      <c r="AU77" s="869"/>
      <c r="AV77" s="870"/>
      <c r="AW77" s="870"/>
      <c r="AX77" s="870"/>
      <c r="AY77" s="820"/>
      <c r="AZ77" s="818"/>
      <c r="BA77" s="818"/>
      <c r="BB77" s="818"/>
      <c r="BC77" s="818"/>
      <c r="BD77" s="819"/>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68"/>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18"/>
      <c r="BA78" s="818"/>
      <c r="BB78" s="818"/>
      <c r="BC78" s="818"/>
      <c r="BD78" s="819"/>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68"/>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18"/>
      <c r="BA79" s="818"/>
      <c r="BB79" s="818"/>
      <c r="BC79" s="818"/>
      <c r="BD79" s="819"/>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8"/>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18"/>
      <c r="BA80" s="818"/>
      <c r="BB80" s="818"/>
      <c r="BC80" s="818"/>
      <c r="BD80" s="819"/>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8"/>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18"/>
      <c r="BA81" s="818"/>
      <c r="BB81" s="818"/>
      <c r="BC81" s="818"/>
      <c r="BD81" s="819"/>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8"/>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18"/>
      <c r="BA82" s="818"/>
      <c r="BB82" s="818"/>
      <c r="BC82" s="818"/>
      <c r="BD82" s="819"/>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8"/>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18"/>
      <c r="BA83" s="818"/>
      <c r="BB83" s="818"/>
      <c r="BC83" s="818"/>
      <c r="BD83" s="819"/>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8"/>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18"/>
      <c r="BA84" s="818"/>
      <c r="BB84" s="818"/>
      <c r="BC84" s="818"/>
      <c r="BD84" s="819"/>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8"/>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18"/>
      <c r="BA85" s="818"/>
      <c r="BB85" s="818"/>
      <c r="BC85" s="818"/>
      <c r="BD85" s="819"/>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8"/>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18"/>
      <c r="BA86" s="818"/>
      <c r="BB86" s="818"/>
      <c r="BC86" s="818"/>
      <c r="BD86" s="819"/>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367</v>
      </c>
      <c r="B88" s="779" t="s">
        <v>393</v>
      </c>
      <c r="C88" s="780"/>
      <c r="D88" s="780"/>
      <c r="E88" s="780"/>
      <c r="F88" s="780"/>
      <c r="G88" s="780"/>
      <c r="H88" s="780"/>
      <c r="I88" s="780"/>
      <c r="J88" s="780"/>
      <c r="K88" s="780"/>
      <c r="L88" s="780"/>
      <c r="M88" s="780"/>
      <c r="N88" s="780"/>
      <c r="O88" s="780"/>
      <c r="P88" s="781"/>
      <c r="Q88" s="830"/>
      <c r="R88" s="831"/>
      <c r="S88" s="831"/>
      <c r="T88" s="831"/>
      <c r="U88" s="831"/>
      <c r="V88" s="831"/>
      <c r="W88" s="831"/>
      <c r="X88" s="831"/>
      <c r="Y88" s="831"/>
      <c r="Z88" s="831"/>
      <c r="AA88" s="831"/>
      <c r="AB88" s="831"/>
      <c r="AC88" s="831"/>
      <c r="AD88" s="831"/>
      <c r="AE88" s="831"/>
      <c r="AF88" s="834">
        <f>SUM(AF68:AJ87)</f>
        <v>465</v>
      </c>
      <c r="AG88" s="834"/>
      <c r="AH88" s="834"/>
      <c r="AI88" s="834"/>
      <c r="AJ88" s="834"/>
      <c r="AK88" s="831"/>
      <c r="AL88" s="831"/>
      <c r="AM88" s="831"/>
      <c r="AN88" s="831"/>
      <c r="AO88" s="831"/>
      <c r="AP88" s="834">
        <f>SUM(AP68:AT87)</f>
        <v>1466</v>
      </c>
      <c r="AQ88" s="834"/>
      <c r="AR88" s="834"/>
      <c r="AS88" s="834"/>
      <c r="AT88" s="834"/>
      <c r="AU88" s="834">
        <f>SUM(AU68:AY87)</f>
        <v>374</v>
      </c>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394</v>
      </c>
      <c r="BS102" s="780"/>
      <c r="BT102" s="780"/>
      <c r="BU102" s="780"/>
      <c r="BV102" s="780"/>
      <c r="BW102" s="780"/>
      <c r="BX102" s="780"/>
      <c r="BY102" s="780"/>
      <c r="BZ102" s="780"/>
      <c r="CA102" s="780"/>
      <c r="CB102" s="780"/>
      <c r="CC102" s="780"/>
      <c r="CD102" s="780"/>
      <c r="CE102" s="780"/>
      <c r="CF102" s="780"/>
      <c r="CG102" s="781"/>
      <c r="CH102" s="879"/>
      <c r="CI102" s="880"/>
      <c r="CJ102" s="880"/>
      <c r="CK102" s="880"/>
      <c r="CL102" s="881"/>
      <c r="CM102" s="879"/>
      <c r="CN102" s="880"/>
      <c r="CO102" s="880"/>
      <c r="CP102" s="880"/>
      <c r="CQ102" s="881"/>
      <c r="CR102" s="882">
        <f>SUM(CR7:CV88)</f>
        <v>165</v>
      </c>
      <c r="CS102" s="842"/>
      <c r="CT102" s="842"/>
      <c r="CU102" s="842"/>
      <c r="CV102" s="883"/>
      <c r="CW102" s="882">
        <f t="shared" ref="CW102" si="3">SUM(CW7:DA88)</f>
        <v>67</v>
      </c>
      <c r="CX102" s="842"/>
      <c r="CY102" s="842"/>
      <c r="CZ102" s="842"/>
      <c r="DA102" s="883"/>
      <c r="DB102" s="882">
        <f t="shared" ref="DB102" si="4">SUM(DB7:DF88)</f>
        <v>171</v>
      </c>
      <c r="DC102" s="842"/>
      <c r="DD102" s="842"/>
      <c r="DE102" s="842"/>
      <c r="DF102" s="883"/>
      <c r="DG102" s="882">
        <f t="shared" ref="DG102" si="5">SUM(DG7:DK88)</f>
        <v>710</v>
      </c>
      <c r="DH102" s="842"/>
      <c r="DI102" s="842"/>
      <c r="DJ102" s="842"/>
      <c r="DK102" s="883"/>
      <c r="DL102" s="882">
        <f t="shared" ref="DL102" si="6">SUM(DL7:DP88)</f>
        <v>0</v>
      </c>
      <c r="DM102" s="842"/>
      <c r="DN102" s="842"/>
      <c r="DO102" s="842"/>
      <c r="DP102" s="883"/>
      <c r="DQ102" s="882">
        <f t="shared" ref="DQ102" si="7">SUM(DQ7:DU88)</f>
        <v>0</v>
      </c>
      <c r="DR102" s="842"/>
      <c r="DS102" s="842"/>
      <c r="DT102" s="842"/>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288</v>
      </c>
      <c r="AG109" s="885"/>
      <c r="AH109" s="885"/>
      <c r="AI109" s="885"/>
      <c r="AJ109" s="886"/>
      <c r="AK109" s="884" t="s">
        <v>287</v>
      </c>
      <c r="AL109" s="885"/>
      <c r="AM109" s="885"/>
      <c r="AN109" s="885"/>
      <c r="AO109" s="886"/>
      <c r="AP109" s="884" t="s">
        <v>403</v>
      </c>
      <c r="AQ109" s="885"/>
      <c r="AR109" s="885"/>
      <c r="AS109" s="885"/>
      <c r="AT109" s="887"/>
      <c r="AU109" s="906"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288</v>
      </c>
      <c r="BW109" s="885"/>
      <c r="BX109" s="885"/>
      <c r="BY109" s="885"/>
      <c r="BZ109" s="886"/>
      <c r="CA109" s="884" t="s">
        <v>287</v>
      </c>
      <c r="CB109" s="885"/>
      <c r="CC109" s="885"/>
      <c r="CD109" s="885"/>
      <c r="CE109" s="886"/>
      <c r="CF109" s="907" t="s">
        <v>403</v>
      </c>
      <c r="CG109" s="907"/>
      <c r="CH109" s="907"/>
      <c r="CI109" s="907"/>
      <c r="CJ109" s="907"/>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288</v>
      </c>
      <c r="DM109" s="885"/>
      <c r="DN109" s="885"/>
      <c r="DO109" s="885"/>
      <c r="DP109" s="886"/>
      <c r="DQ109" s="884" t="s">
        <v>287</v>
      </c>
      <c r="DR109" s="885"/>
      <c r="DS109" s="885"/>
      <c r="DT109" s="885"/>
      <c r="DU109" s="886"/>
      <c r="DV109" s="884" t="s">
        <v>403</v>
      </c>
      <c r="DW109" s="885"/>
      <c r="DX109" s="885"/>
      <c r="DY109" s="885"/>
      <c r="DZ109" s="887"/>
    </row>
    <row r="110" spans="1:131" s="197" customFormat="1" ht="26.25" customHeight="1">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1070167</v>
      </c>
      <c r="AB110" s="892"/>
      <c r="AC110" s="892"/>
      <c r="AD110" s="892"/>
      <c r="AE110" s="893"/>
      <c r="AF110" s="894">
        <v>1047633</v>
      </c>
      <c r="AG110" s="892"/>
      <c r="AH110" s="892"/>
      <c r="AI110" s="892"/>
      <c r="AJ110" s="893"/>
      <c r="AK110" s="894">
        <v>1071189</v>
      </c>
      <c r="AL110" s="892"/>
      <c r="AM110" s="892"/>
      <c r="AN110" s="892"/>
      <c r="AO110" s="893"/>
      <c r="AP110" s="895">
        <v>11.5</v>
      </c>
      <c r="AQ110" s="896"/>
      <c r="AR110" s="896"/>
      <c r="AS110" s="896"/>
      <c r="AT110" s="897"/>
      <c r="AU110" s="898" t="s">
        <v>61</v>
      </c>
      <c r="AV110" s="899"/>
      <c r="AW110" s="899"/>
      <c r="AX110" s="899"/>
      <c r="AY110" s="900"/>
      <c r="AZ110" s="942" t="s">
        <v>406</v>
      </c>
      <c r="BA110" s="889"/>
      <c r="BB110" s="889"/>
      <c r="BC110" s="889"/>
      <c r="BD110" s="889"/>
      <c r="BE110" s="889"/>
      <c r="BF110" s="889"/>
      <c r="BG110" s="889"/>
      <c r="BH110" s="889"/>
      <c r="BI110" s="889"/>
      <c r="BJ110" s="889"/>
      <c r="BK110" s="889"/>
      <c r="BL110" s="889"/>
      <c r="BM110" s="889"/>
      <c r="BN110" s="889"/>
      <c r="BO110" s="889"/>
      <c r="BP110" s="890"/>
      <c r="BQ110" s="928">
        <v>14868057</v>
      </c>
      <c r="BR110" s="929"/>
      <c r="BS110" s="929"/>
      <c r="BT110" s="929"/>
      <c r="BU110" s="929"/>
      <c r="BV110" s="929">
        <v>15746881</v>
      </c>
      <c r="BW110" s="929"/>
      <c r="BX110" s="929"/>
      <c r="BY110" s="929"/>
      <c r="BZ110" s="929"/>
      <c r="CA110" s="929">
        <v>16024982</v>
      </c>
      <c r="CB110" s="929"/>
      <c r="CC110" s="929"/>
      <c r="CD110" s="929"/>
      <c r="CE110" s="929"/>
      <c r="CF110" s="943">
        <v>171.4</v>
      </c>
      <c r="CG110" s="944"/>
      <c r="CH110" s="944"/>
      <c r="CI110" s="944"/>
      <c r="CJ110" s="944"/>
      <c r="CK110" s="945" t="s">
        <v>407</v>
      </c>
      <c r="CL110" s="946"/>
      <c r="CM110" s="925" t="s">
        <v>408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222</v>
      </c>
      <c r="DH110" s="929"/>
      <c r="DI110" s="929"/>
      <c r="DJ110" s="929"/>
      <c r="DK110" s="929"/>
      <c r="DL110" s="929" t="s">
        <v>222</v>
      </c>
      <c r="DM110" s="929"/>
      <c r="DN110" s="929"/>
      <c r="DO110" s="929"/>
      <c r="DP110" s="929"/>
      <c r="DQ110" s="929" t="s">
        <v>222</v>
      </c>
      <c r="DR110" s="929"/>
      <c r="DS110" s="929"/>
      <c r="DT110" s="929"/>
      <c r="DU110" s="929"/>
      <c r="DV110" s="930" t="s">
        <v>222</v>
      </c>
      <c r="DW110" s="930"/>
      <c r="DX110" s="930"/>
      <c r="DY110" s="930"/>
      <c r="DZ110" s="931"/>
    </row>
    <row r="111" spans="1:131" s="197" customFormat="1" ht="26.25" customHeight="1">
      <c r="A111" s="932" t="s">
        <v>409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222</v>
      </c>
      <c r="AB111" s="936"/>
      <c r="AC111" s="936"/>
      <c r="AD111" s="936"/>
      <c r="AE111" s="937"/>
      <c r="AF111" s="938" t="s">
        <v>222</v>
      </c>
      <c r="AG111" s="936"/>
      <c r="AH111" s="936"/>
      <c r="AI111" s="936"/>
      <c r="AJ111" s="937"/>
      <c r="AK111" s="938" t="s">
        <v>222</v>
      </c>
      <c r="AL111" s="936"/>
      <c r="AM111" s="936"/>
      <c r="AN111" s="936"/>
      <c r="AO111" s="937"/>
      <c r="AP111" s="939" t="s">
        <v>222</v>
      </c>
      <c r="AQ111" s="940"/>
      <c r="AR111" s="940"/>
      <c r="AS111" s="940"/>
      <c r="AT111" s="941"/>
      <c r="AU111" s="901"/>
      <c r="AV111" s="902"/>
      <c r="AW111" s="902"/>
      <c r="AX111" s="902"/>
      <c r="AY111" s="903"/>
      <c r="AZ111" s="951" t="s">
        <v>410</v>
      </c>
      <c r="BA111" s="952"/>
      <c r="BB111" s="952"/>
      <c r="BC111" s="952"/>
      <c r="BD111" s="952"/>
      <c r="BE111" s="952"/>
      <c r="BF111" s="952"/>
      <c r="BG111" s="952"/>
      <c r="BH111" s="952"/>
      <c r="BI111" s="952"/>
      <c r="BJ111" s="952"/>
      <c r="BK111" s="952"/>
      <c r="BL111" s="952"/>
      <c r="BM111" s="952"/>
      <c r="BN111" s="952"/>
      <c r="BO111" s="952"/>
      <c r="BP111" s="953"/>
      <c r="BQ111" s="921">
        <v>943600</v>
      </c>
      <c r="BR111" s="922"/>
      <c r="BS111" s="922"/>
      <c r="BT111" s="922"/>
      <c r="BU111" s="922"/>
      <c r="BV111" s="922">
        <v>936558</v>
      </c>
      <c r="BW111" s="922"/>
      <c r="BX111" s="922"/>
      <c r="BY111" s="922"/>
      <c r="BZ111" s="922"/>
      <c r="CA111" s="922">
        <v>748281</v>
      </c>
      <c r="CB111" s="922"/>
      <c r="CC111" s="922"/>
      <c r="CD111" s="922"/>
      <c r="CE111" s="922"/>
      <c r="CF111" s="916">
        <v>8</v>
      </c>
      <c r="CG111" s="917"/>
      <c r="CH111" s="917"/>
      <c r="CI111" s="917"/>
      <c r="CJ111" s="917"/>
      <c r="CK111" s="947"/>
      <c r="CL111" s="948"/>
      <c r="CM111" s="918" t="s">
        <v>411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222</v>
      </c>
      <c r="DH111" s="922"/>
      <c r="DI111" s="922"/>
      <c r="DJ111" s="922"/>
      <c r="DK111" s="922"/>
      <c r="DL111" s="922" t="s">
        <v>222</v>
      </c>
      <c r="DM111" s="922"/>
      <c r="DN111" s="922"/>
      <c r="DO111" s="922"/>
      <c r="DP111" s="922"/>
      <c r="DQ111" s="922" t="s">
        <v>222</v>
      </c>
      <c r="DR111" s="922"/>
      <c r="DS111" s="922"/>
      <c r="DT111" s="922"/>
      <c r="DU111" s="922"/>
      <c r="DV111" s="923" t="s">
        <v>222</v>
      </c>
      <c r="DW111" s="923"/>
      <c r="DX111" s="923"/>
      <c r="DY111" s="923"/>
      <c r="DZ111" s="924"/>
    </row>
    <row r="112" spans="1:131" s="197" customFormat="1" ht="26.25" customHeight="1">
      <c r="A112" s="954" t="s">
        <v>412</v>
      </c>
      <c r="B112" s="955"/>
      <c r="C112" s="952" t="s">
        <v>413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222</v>
      </c>
      <c r="AB112" s="961"/>
      <c r="AC112" s="961"/>
      <c r="AD112" s="961"/>
      <c r="AE112" s="962"/>
      <c r="AF112" s="963" t="s">
        <v>222</v>
      </c>
      <c r="AG112" s="961"/>
      <c r="AH112" s="961"/>
      <c r="AI112" s="961"/>
      <c r="AJ112" s="962"/>
      <c r="AK112" s="963" t="s">
        <v>222</v>
      </c>
      <c r="AL112" s="961"/>
      <c r="AM112" s="961"/>
      <c r="AN112" s="961"/>
      <c r="AO112" s="962"/>
      <c r="AP112" s="964" t="s">
        <v>222</v>
      </c>
      <c r="AQ112" s="965"/>
      <c r="AR112" s="965"/>
      <c r="AS112" s="965"/>
      <c r="AT112" s="966"/>
      <c r="AU112" s="901"/>
      <c r="AV112" s="902"/>
      <c r="AW112" s="902"/>
      <c r="AX112" s="902"/>
      <c r="AY112" s="903"/>
      <c r="AZ112" s="951" t="s">
        <v>414</v>
      </c>
      <c r="BA112" s="952"/>
      <c r="BB112" s="952"/>
      <c r="BC112" s="952"/>
      <c r="BD112" s="952"/>
      <c r="BE112" s="952"/>
      <c r="BF112" s="952"/>
      <c r="BG112" s="952"/>
      <c r="BH112" s="952"/>
      <c r="BI112" s="952"/>
      <c r="BJ112" s="952"/>
      <c r="BK112" s="952"/>
      <c r="BL112" s="952"/>
      <c r="BM112" s="952"/>
      <c r="BN112" s="952"/>
      <c r="BO112" s="952"/>
      <c r="BP112" s="953"/>
      <c r="BQ112" s="921">
        <v>10769014</v>
      </c>
      <c r="BR112" s="922"/>
      <c r="BS112" s="922"/>
      <c r="BT112" s="922"/>
      <c r="BU112" s="922"/>
      <c r="BV112" s="922">
        <v>10697884</v>
      </c>
      <c r="BW112" s="922"/>
      <c r="BX112" s="922"/>
      <c r="BY112" s="922"/>
      <c r="BZ112" s="922"/>
      <c r="CA112" s="922">
        <v>10877823</v>
      </c>
      <c r="CB112" s="922"/>
      <c r="CC112" s="922"/>
      <c r="CD112" s="922"/>
      <c r="CE112" s="922"/>
      <c r="CF112" s="916">
        <v>116.3</v>
      </c>
      <c r="CG112" s="917"/>
      <c r="CH112" s="917"/>
      <c r="CI112" s="917"/>
      <c r="CJ112" s="917"/>
      <c r="CK112" s="947"/>
      <c r="CL112" s="948"/>
      <c r="CM112" s="918" t="s">
        <v>415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222</v>
      </c>
      <c r="DH112" s="922"/>
      <c r="DI112" s="922"/>
      <c r="DJ112" s="922"/>
      <c r="DK112" s="922"/>
      <c r="DL112" s="922" t="s">
        <v>222</v>
      </c>
      <c r="DM112" s="922"/>
      <c r="DN112" s="922"/>
      <c r="DO112" s="922"/>
      <c r="DP112" s="922"/>
      <c r="DQ112" s="922" t="s">
        <v>222</v>
      </c>
      <c r="DR112" s="922"/>
      <c r="DS112" s="922"/>
      <c r="DT112" s="922"/>
      <c r="DU112" s="922"/>
      <c r="DV112" s="923" t="s">
        <v>222</v>
      </c>
      <c r="DW112" s="923"/>
      <c r="DX112" s="923"/>
      <c r="DY112" s="923"/>
      <c r="DZ112" s="924"/>
    </row>
    <row r="113" spans="1:130" s="197" customFormat="1" ht="26.25" customHeight="1">
      <c r="A113" s="956"/>
      <c r="B113" s="957"/>
      <c r="C113" s="952" t="s">
        <v>416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628489</v>
      </c>
      <c r="AB113" s="936"/>
      <c r="AC113" s="936"/>
      <c r="AD113" s="936"/>
      <c r="AE113" s="937"/>
      <c r="AF113" s="938">
        <v>702743</v>
      </c>
      <c r="AG113" s="936"/>
      <c r="AH113" s="936"/>
      <c r="AI113" s="936"/>
      <c r="AJ113" s="937"/>
      <c r="AK113" s="938">
        <v>710949</v>
      </c>
      <c r="AL113" s="936"/>
      <c r="AM113" s="936"/>
      <c r="AN113" s="936"/>
      <c r="AO113" s="937"/>
      <c r="AP113" s="939">
        <v>7.6</v>
      </c>
      <c r="AQ113" s="940"/>
      <c r="AR113" s="940"/>
      <c r="AS113" s="940"/>
      <c r="AT113" s="941"/>
      <c r="AU113" s="901"/>
      <c r="AV113" s="902"/>
      <c r="AW113" s="902"/>
      <c r="AX113" s="902"/>
      <c r="AY113" s="903"/>
      <c r="AZ113" s="951" t="s">
        <v>417</v>
      </c>
      <c r="BA113" s="952"/>
      <c r="BB113" s="952"/>
      <c r="BC113" s="952"/>
      <c r="BD113" s="952"/>
      <c r="BE113" s="952"/>
      <c r="BF113" s="952"/>
      <c r="BG113" s="952"/>
      <c r="BH113" s="952"/>
      <c r="BI113" s="952"/>
      <c r="BJ113" s="952"/>
      <c r="BK113" s="952"/>
      <c r="BL113" s="952"/>
      <c r="BM113" s="952"/>
      <c r="BN113" s="952"/>
      <c r="BO113" s="952"/>
      <c r="BP113" s="953"/>
      <c r="BQ113" s="921">
        <v>491395</v>
      </c>
      <c r="BR113" s="922"/>
      <c r="BS113" s="922"/>
      <c r="BT113" s="922"/>
      <c r="BU113" s="922"/>
      <c r="BV113" s="922">
        <v>423973</v>
      </c>
      <c r="BW113" s="922"/>
      <c r="BX113" s="922"/>
      <c r="BY113" s="922"/>
      <c r="BZ113" s="922"/>
      <c r="CA113" s="922">
        <v>373477</v>
      </c>
      <c r="CB113" s="922"/>
      <c r="CC113" s="922"/>
      <c r="CD113" s="922"/>
      <c r="CE113" s="922"/>
      <c r="CF113" s="916">
        <v>4</v>
      </c>
      <c r="CG113" s="917"/>
      <c r="CH113" s="917"/>
      <c r="CI113" s="917"/>
      <c r="CJ113" s="917"/>
      <c r="CK113" s="947"/>
      <c r="CL113" s="948"/>
      <c r="CM113" s="918" t="s">
        <v>418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v>149620</v>
      </c>
      <c r="DH113" s="961"/>
      <c r="DI113" s="961"/>
      <c r="DJ113" s="961"/>
      <c r="DK113" s="962"/>
      <c r="DL113" s="963">
        <v>148314</v>
      </c>
      <c r="DM113" s="961"/>
      <c r="DN113" s="961"/>
      <c r="DO113" s="961"/>
      <c r="DP113" s="962"/>
      <c r="DQ113" s="963" t="s">
        <v>222</v>
      </c>
      <c r="DR113" s="961"/>
      <c r="DS113" s="961"/>
      <c r="DT113" s="961"/>
      <c r="DU113" s="962"/>
      <c r="DV113" s="964" t="s">
        <v>222</v>
      </c>
      <c r="DW113" s="965"/>
      <c r="DX113" s="965"/>
      <c r="DY113" s="965"/>
      <c r="DZ113" s="966"/>
    </row>
    <row r="114" spans="1:130" s="197" customFormat="1" ht="26.25" customHeight="1">
      <c r="A114" s="956"/>
      <c r="B114" s="957"/>
      <c r="C114" s="952" t="s">
        <v>419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66061</v>
      </c>
      <c r="AB114" s="961"/>
      <c r="AC114" s="961"/>
      <c r="AD114" s="961"/>
      <c r="AE114" s="962"/>
      <c r="AF114" s="963">
        <v>64253</v>
      </c>
      <c r="AG114" s="961"/>
      <c r="AH114" s="961"/>
      <c r="AI114" s="961"/>
      <c r="AJ114" s="962"/>
      <c r="AK114" s="963">
        <v>72006</v>
      </c>
      <c r="AL114" s="961"/>
      <c r="AM114" s="961"/>
      <c r="AN114" s="961"/>
      <c r="AO114" s="962"/>
      <c r="AP114" s="964">
        <v>0.8</v>
      </c>
      <c r="AQ114" s="965"/>
      <c r="AR114" s="965"/>
      <c r="AS114" s="965"/>
      <c r="AT114" s="966"/>
      <c r="AU114" s="901"/>
      <c r="AV114" s="902"/>
      <c r="AW114" s="902"/>
      <c r="AX114" s="902"/>
      <c r="AY114" s="903"/>
      <c r="AZ114" s="951" t="s">
        <v>420</v>
      </c>
      <c r="BA114" s="952"/>
      <c r="BB114" s="952"/>
      <c r="BC114" s="952"/>
      <c r="BD114" s="952"/>
      <c r="BE114" s="952"/>
      <c r="BF114" s="952"/>
      <c r="BG114" s="952"/>
      <c r="BH114" s="952"/>
      <c r="BI114" s="952"/>
      <c r="BJ114" s="952"/>
      <c r="BK114" s="952"/>
      <c r="BL114" s="952"/>
      <c r="BM114" s="952"/>
      <c r="BN114" s="952"/>
      <c r="BO114" s="952"/>
      <c r="BP114" s="953"/>
      <c r="BQ114" s="921">
        <v>2240058</v>
      </c>
      <c r="BR114" s="922"/>
      <c r="BS114" s="922"/>
      <c r="BT114" s="922"/>
      <c r="BU114" s="922"/>
      <c r="BV114" s="922">
        <v>2298994</v>
      </c>
      <c r="BW114" s="922"/>
      <c r="BX114" s="922"/>
      <c r="BY114" s="922"/>
      <c r="BZ114" s="922"/>
      <c r="CA114" s="922">
        <v>2136481</v>
      </c>
      <c r="CB114" s="922"/>
      <c r="CC114" s="922"/>
      <c r="CD114" s="922"/>
      <c r="CE114" s="922"/>
      <c r="CF114" s="916">
        <v>22.8</v>
      </c>
      <c r="CG114" s="917"/>
      <c r="CH114" s="917"/>
      <c r="CI114" s="917"/>
      <c r="CJ114" s="917"/>
      <c r="CK114" s="947"/>
      <c r="CL114" s="948"/>
      <c r="CM114" s="918" t="s">
        <v>421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222</v>
      </c>
      <c r="DH114" s="961"/>
      <c r="DI114" s="961"/>
      <c r="DJ114" s="961"/>
      <c r="DK114" s="962"/>
      <c r="DL114" s="963" t="s">
        <v>222</v>
      </c>
      <c r="DM114" s="961"/>
      <c r="DN114" s="961"/>
      <c r="DO114" s="961"/>
      <c r="DP114" s="962"/>
      <c r="DQ114" s="963" t="s">
        <v>222</v>
      </c>
      <c r="DR114" s="961"/>
      <c r="DS114" s="961"/>
      <c r="DT114" s="961"/>
      <c r="DU114" s="962"/>
      <c r="DV114" s="964" t="s">
        <v>222</v>
      </c>
      <c r="DW114" s="965"/>
      <c r="DX114" s="965"/>
      <c r="DY114" s="965"/>
      <c r="DZ114" s="966"/>
    </row>
    <row r="115" spans="1:130" s="197" customFormat="1" ht="26.25" customHeight="1">
      <c r="A115" s="956"/>
      <c r="B115" s="957"/>
      <c r="C115" s="952" t="s">
        <v>422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12820</v>
      </c>
      <c r="AB115" s="936"/>
      <c r="AC115" s="936"/>
      <c r="AD115" s="936"/>
      <c r="AE115" s="937"/>
      <c r="AF115" s="938">
        <v>12959</v>
      </c>
      <c r="AG115" s="936"/>
      <c r="AH115" s="936"/>
      <c r="AI115" s="936"/>
      <c r="AJ115" s="937"/>
      <c r="AK115" s="938">
        <v>13236</v>
      </c>
      <c r="AL115" s="936"/>
      <c r="AM115" s="936"/>
      <c r="AN115" s="936"/>
      <c r="AO115" s="937"/>
      <c r="AP115" s="939">
        <v>0.1</v>
      </c>
      <c r="AQ115" s="940"/>
      <c r="AR115" s="940"/>
      <c r="AS115" s="940"/>
      <c r="AT115" s="941"/>
      <c r="AU115" s="901"/>
      <c r="AV115" s="902"/>
      <c r="AW115" s="902"/>
      <c r="AX115" s="902"/>
      <c r="AY115" s="903"/>
      <c r="AZ115" s="951" t="s">
        <v>423</v>
      </c>
      <c r="BA115" s="952"/>
      <c r="BB115" s="952"/>
      <c r="BC115" s="952"/>
      <c r="BD115" s="952"/>
      <c r="BE115" s="952"/>
      <c r="BF115" s="952"/>
      <c r="BG115" s="952"/>
      <c r="BH115" s="952"/>
      <c r="BI115" s="952"/>
      <c r="BJ115" s="952"/>
      <c r="BK115" s="952"/>
      <c r="BL115" s="952"/>
      <c r="BM115" s="952"/>
      <c r="BN115" s="952"/>
      <c r="BO115" s="952"/>
      <c r="BP115" s="953"/>
      <c r="BQ115" s="921" t="s">
        <v>222</v>
      </c>
      <c r="BR115" s="922"/>
      <c r="BS115" s="922"/>
      <c r="BT115" s="922"/>
      <c r="BU115" s="922"/>
      <c r="BV115" s="922" t="s">
        <v>222</v>
      </c>
      <c r="BW115" s="922"/>
      <c r="BX115" s="922"/>
      <c r="BY115" s="922"/>
      <c r="BZ115" s="922"/>
      <c r="CA115" s="922" t="s">
        <v>222</v>
      </c>
      <c r="CB115" s="922"/>
      <c r="CC115" s="922"/>
      <c r="CD115" s="922"/>
      <c r="CE115" s="922"/>
      <c r="CF115" s="916" t="s">
        <v>222</v>
      </c>
      <c r="CG115" s="917"/>
      <c r="CH115" s="917"/>
      <c r="CI115" s="917"/>
      <c r="CJ115" s="917"/>
      <c r="CK115" s="947"/>
      <c r="CL115" s="948"/>
      <c r="CM115" s="951" t="s">
        <v>424</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v>754247</v>
      </c>
      <c r="DH115" s="961"/>
      <c r="DI115" s="961"/>
      <c r="DJ115" s="961"/>
      <c r="DK115" s="962"/>
      <c r="DL115" s="963">
        <v>760173</v>
      </c>
      <c r="DM115" s="961"/>
      <c r="DN115" s="961"/>
      <c r="DO115" s="961"/>
      <c r="DP115" s="962"/>
      <c r="DQ115" s="963">
        <v>731386</v>
      </c>
      <c r="DR115" s="961"/>
      <c r="DS115" s="961"/>
      <c r="DT115" s="961"/>
      <c r="DU115" s="962"/>
      <c r="DV115" s="964">
        <v>7.8</v>
      </c>
      <c r="DW115" s="965"/>
      <c r="DX115" s="965"/>
      <c r="DY115" s="965"/>
      <c r="DZ115" s="966"/>
    </row>
    <row r="116" spans="1:130" s="197" customFormat="1" ht="26.25" customHeight="1">
      <c r="A116" s="958"/>
      <c r="B116" s="959"/>
      <c r="C116" s="973" t="s">
        <v>425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222</v>
      </c>
      <c r="AB116" s="961"/>
      <c r="AC116" s="961"/>
      <c r="AD116" s="961"/>
      <c r="AE116" s="962"/>
      <c r="AF116" s="963" t="s">
        <v>222</v>
      </c>
      <c r="AG116" s="961"/>
      <c r="AH116" s="961"/>
      <c r="AI116" s="961"/>
      <c r="AJ116" s="962"/>
      <c r="AK116" s="963" t="s">
        <v>222</v>
      </c>
      <c r="AL116" s="961"/>
      <c r="AM116" s="961"/>
      <c r="AN116" s="961"/>
      <c r="AO116" s="962"/>
      <c r="AP116" s="964" t="s">
        <v>222</v>
      </c>
      <c r="AQ116" s="965"/>
      <c r="AR116" s="965"/>
      <c r="AS116" s="965"/>
      <c r="AT116" s="966"/>
      <c r="AU116" s="901"/>
      <c r="AV116" s="902"/>
      <c r="AW116" s="902"/>
      <c r="AX116" s="902"/>
      <c r="AY116" s="903"/>
      <c r="AZ116" s="951" t="s">
        <v>426</v>
      </c>
      <c r="BA116" s="952"/>
      <c r="BB116" s="952"/>
      <c r="BC116" s="952"/>
      <c r="BD116" s="952"/>
      <c r="BE116" s="952"/>
      <c r="BF116" s="952"/>
      <c r="BG116" s="952"/>
      <c r="BH116" s="952"/>
      <c r="BI116" s="952"/>
      <c r="BJ116" s="952"/>
      <c r="BK116" s="952"/>
      <c r="BL116" s="952"/>
      <c r="BM116" s="952"/>
      <c r="BN116" s="952"/>
      <c r="BO116" s="952"/>
      <c r="BP116" s="953"/>
      <c r="BQ116" s="921" t="s">
        <v>222</v>
      </c>
      <c r="BR116" s="922"/>
      <c r="BS116" s="922"/>
      <c r="BT116" s="922"/>
      <c r="BU116" s="922"/>
      <c r="BV116" s="922" t="s">
        <v>222</v>
      </c>
      <c r="BW116" s="922"/>
      <c r="BX116" s="922"/>
      <c r="BY116" s="922"/>
      <c r="BZ116" s="922"/>
      <c r="CA116" s="922" t="s">
        <v>222</v>
      </c>
      <c r="CB116" s="922"/>
      <c r="CC116" s="922"/>
      <c r="CD116" s="922"/>
      <c r="CE116" s="922"/>
      <c r="CF116" s="916" t="s">
        <v>222</v>
      </c>
      <c r="CG116" s="917"/>
      <c r="CH116" s="917"/>
      <c r="CI116" s="917"/>
      <c r="CJ116" s="917"/>
      <c r="CK116" s="947"/>
      <c r="CL116" s="948"/>
      <c r="CM116" s="918" t="s">
        <v>427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222</v>
      </c>
      <c r="DH116" s="961"/>
      <c r="DI116" s="961"/>
      <c r="DJ116" s="961"/>
      <c r="DK116" s="962"/>
      <c r="DL116" s="963" t="s">
        <v>222</v>
      </c>
      <c r="DM116" s="961"/>
      <c r="DN116" s="961"/>
      <c r="DO116" s="961"/>
      <c r="DP116" s="962"/>
      <c r="DQ116" s="963" t="s">
        <v>222</v>
      </c>
      <c r="DR116" s="961"/>
      <c r="DS116" s="961"/>
      <c r="DT116" s="961"/>
      <c r="DU116" s="962"/>
      <c r="DV116" s="964" t="s">
        <v>222</v>
      </c>
      <c r="DW116" s="965"/>
      <c r="DX116" s="965"/>
      <c r="DY116" s="965"/>
      <c r="DZ116" s="966"/>
    </row>
    <row r="117" spans="1:130" s="197" customFormat="1" ht="26.25" customHeight="1">
      <c r="A117" s="906"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428</v>
      </c>
      <c r="Z117" s="886"/>
      <c r="AA117" s="998">
        <v>1777537</v>
      </c>
      <c r="AB117" s="968"/>
      <c r="AC117" s="968"/>
      <c r="AD117" s="968"/>
      <c r="AE117" s="969"/>
      <c r="AF117" s="967">
        <v>1827588</v>
      </c>
      <c r="AG117" s="968"/>
      <c r="AH117" s="968"/>
      <c r="AI117" s="968"/>
      <c r="AJ117" s="969"/>
      <c r="AK117" s="967">
        <v>1867380</v>
      </c>
      <c r="AL117" s="968"/>
      <c r="AM117" s="968"/>
      <c r="AN117" s="968"/>
      <c r="AO117" s="969"/>
      <c r="AP117" s="970"/>
      <c r="AQ117" s="971"/>
      <c r="AR117" s="971"/>
      <c r="AS117" s="971"/>
      <c r="AT117" s="972"/>
      <c r="AU117" s="901"/>
      <c r="AV117" s="902"/>
      <c r="AW117" s="902"/>
      <c r="AX117" s="902"/>
      <c r="AY117" s="903"/>
      <c r="AZ117" s="997" t="s">
        <v>429</v>
      </c>
      <c r="BA117" s="973"/>
      <c r="BB117" s="973"/>
      <c r="BC117" s="973"/>
      <c r="BD117" s="973"/>
      <c r="BE117" s="973"/>
      <c r="BF117" s="973"/>
      <c r="BG117" s="973"/>
      <c r="BH117" s="973"/>
      <c r="BI117" s="973"/>
      <c r="BJ117" s="973"/>
      <c r="BK117" s="973"/>
      <c r="BL117" s="973"/>
      <c r="BM117" s="973"/>
      <c r="BN117" s="973"/>
      <c r="BO117" s="973"/>
      <c r="BP117" s="974"/>
      <c r="BQ117" s="987" t="s">
        <v>222</v>
      </c>
      <c r="BR117" s="988"/>
      <c r="BS117" s="988"/>
      <c r="BT117" s="988"/>
      <c r="BU117" s="988"/>
      <c r="BV117" s="988" t="s">
        <v>222</v>
      </c>
      <c r="BW117" s="988"/>
      <c r="BX117" s="988"/>
      <c r="BY117" s="988"/>
      <c r="BZ117" s="988"/>
      <c r="CA117" s="988" t="s">
        <v>222</v>
      </c>
      <c r="CB117" s="988"/>
      <c r="CC117" s="988"/>
      <c r="CD117" s="988"/>
      <c r="CE117" s="988"/>
      <c r="CF117" s="916" t="s">
        <v>222</v>
      </c>
      <c r="CG117" s="917"/>
      <c r="CH117" s="917"/>
      <c r="CI117" s="917"/>
      <c r="CJ117" s="917"/>
      <c r="CK117" s="947"/>
      <c r="CL117" s="948"/>
      <c r="CM117" s="918" t="s">
        <v>430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222</v>
      </c>
      <c r="DH117" s="961"/>
      <c r="DI117" s="961"/>
      <c r="DJ117" s="961"/>
      <c r="DK117" s="962"/>
      <c r="DL117" s="963" t="s">
        <v>222</v>
      </c>
      <c r="DM117" s="961"/>
      <c r="DN117" s="961"/>
      <c r="DO117" s="961"/>
      <c r="DP117" s="962"/>
      <c r="DQ117" s="963" t="s">
        <v>222</v>
      </c>
      <c r="DR117" s="961"/>
      <c r="DS117" s="961"/>
      <c r="DT117" s="961"/>
      <c r="DU117" s="962"/>
      <c r="DV117" s="964" t="s">
        <v>222</v>
      </c>
      <c r="DW117" s="965"/>
      <c r="DX117" s="965"/>
      <c r="DY117" s="965"/>
      <c r="DZ117" s="966"/>
    </row>
    <row r="118" spans="1:130" s="197" customFormat="1" ht="26.25" customHeight="1">
      <c r="A118" s="906"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288</v>
      </c>
      <c r="AG118" s="885"/>
      <c r="AH118" s="885"/>
      <c r="AI118" s="885"/>
      <c r="AJ118" s="886"/>
      <c r="AK118" s="884" t="s">
        <v>287</v>
      </c>
      <c r="AL118" s="885"/>
      <c r="AM118" s="885"/>
      <c r="AN118" s="885"/>
      <c r="AO118" s="886"/>
      <c r="AP118" s="992" t="s">
        <v>403</v>
      </c>
      <c r="AQ118" s="993"/>
      <c r="AR118" s="993"/>
      <c r="AS118" s="993"/>
      <c r="AT118" s="994"/>
      <c r="AU118" s="904"/>
      <c r="AV118" s="905"/>
      <c r="AW118" s="905"/>
      <c r="AX118" s="905"/>
      <c r="AY118" s="905"/>
      <c r="AZ118" s="228" t="s">
        <v>171</v>
      </c>
      <c r="BA118" s="228"/>
      <c r="BB118" s="228"/>
      <c r="BC118" s="228"/>
      <c r="BD118" s="228"/>
      <c r="BE118" s="228"/>
      <c r="BF118" s="228"/>
      <c r="BG118" s="228"/>
      <c r="BH118" s="228"/>
      <c r="BI118" s="228"/>
      <c r="BJ118" s="228"/>
      <c r="BK118" s="228"/>
      <c r="BL118" s="228"/>
      <c r="BM118" s="228"/>
      <c r="BN118" s="228"/>
      <c r="BO118" s="995" t="s">
        <v>431</v>
      </c>
      <c r="BP118" s="996"/>
      <c r="BQ118" s="987">
        <v>29312124</v>
      </c>
      <c r="BR118" s="988"/>
      <c r="BS118" s="988"/>
      <c r="BT118" s="988"/>
      <c r="BU118" s="988"/>
      <c r="BV118" s="988">
        <v>30104290</v>
      </c>
      <c r="BW118" s="988"/>
      <c r="BX118" s="988"/>
      <c r="BY118" s="988"/>
      <c r="BZ118" s="988"/>
      <c r="CA118" s="988">
        <v>30161044</v>
      </c>
      <c r="CB118" s="988"/>
      <c r="CC118" s="988"/>
      <c r="CD118" s="988"/>
      <c r="CE118" s="988"/>
      <c r="CF118" s="989"/>
      <c r="CG118" s="990"/>
      <c r="CH118" s="990"/>
      <c r="CI118" s="990"/>
      <c r="CJ118" s="991"/>
      <c r="CK118" s="947"/>
      <c r="CL118" s="948"/>
      <c r="CM118" s="918" t="s">
        <v>432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222</v>
      </c>
      <c r="DH118" s="961"/>
      <c r="DI118" s="961"/>
      <c r="DJ118" s="961"/>
      <c r="DK118" s="962"/>
      <c r="DL118" s="963" t="s">
        <v>222</v>
      </c>
      <c r="DM118" s="961"/>
      <c r="DN118" s="961"/>
      <c r="DO118" s="961"/>
      <c r="DP118" s="962"/>
      <c r="DQ118" s="963" t="s">
        <v>222</v>
      </c>
      <c r="DR118" s="961"/>
      <c r="DS118" s="961"/>
      <c r="DT118" s="961"/>
      <c r="DU118" s="962"/>
      <c r="DV118" s="964" t="s">
        <v>222</v>
      </c>
      <c r="DW118" s="965"/>
      <c r="DX118" s="965"/>
      <c r="DY118" s="965"/>
      <c r="DZ118" s="966"/>
    </row>
    <row r="119" spans="1:130" s="197" customFormat="1" ht="26.25" customHeight="1">
      <c r="A119" s="976" t="s">
        <v>407</v>
      </c>
      <c r="B119" s="946"/>
      <c r="C119" s="925" t="s">
        <v>408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79" t="s">
        <v>433</v>
      </c>
      <c r="AV119" s="980"/>
      <c r="AW119" s="980"/>
      <c r="AX119" s="980"/>
      <c r="AY119" s="981"/>
      <c r="AZ119" s="942" t="s">
        <v>434</v>
      </c>
      <c r="BA119" s="889"/>
      <c r="BB119" s="889"/>
      <c r="BC119" s="889"/>
      <c r="BD119" s="889"/>
      <c r="BE119" s="889"/>
      <c r="BF119" s="889"/>
      <c r="BG119" s="889"/>
      <c r="BH119" s="889"/>
      <c r="BI119" s="889"/>
      <c r="BJ119" s="889"/>
      <c r="BK119" s="889"/>
      <c r="BL119" s="889"/>
      <c r="BM119" s="889"/>
      <c r="BN119" s="889"/>
      <c r="BO119" s="889"/>
      <c r="BP119" s="890"/>
      <c r="BQ119" s="928">
        <v>10504466</v>
      </c>
      <c r="BR119" s="929"/>
      <c r="BS119" s="929"/>
      <c r="BT119" s="929"/>
      <c r="BU119" s="929"/>
      <c r="BV119" s="929">
        <v>10280818</v>
      </c>
      <c r="BW119" s="929"/>
      <c r="BX119" s="929"/>
      <c r="BY119" s="929"/>
      <c r="BZ119" s="929"/>
      <c r="CA119" s="929">
        <v>9517407</v>
      </c>
      <c r="CB119" s="929"/>
      <c r="CC119" s="929"/>
      <c r="CD119" s="929"/>
      <c r="CE119" s="929"/>
      <c r="CF119" s="943">
        <v>101.8</v>
      </c>
      <c r="CG119" s="944"/>
      <c r="CH119" s="944"/>
      <c r="CI119" s="944"/>
      <c r="CJ119" s="944"/>
      <c r="CK119" s="949"/>
      <c r="CL119" s="950"/>
      <c r="CM119" s="1006" t="s">
        <v>435</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39733</v>
      </c>
      <c r="DH119" s="1000"/>
      <c r="DI119" s="1000"/>
      <c r="DJ119" s="1000"/>
      <c r="DK119" s="1001"/>
      <c r="DL119" s="1002">
        <v>28071</v>
      </c>
      <c r="DM119" s="1000"/>
      <c r="DN119" s="1000"/>
      <c r="DO119" s="1000"/>
      <c r="DP119" s="1001"/>
      <c r="DQ119" s="1002">
        <v>16895</v>
      </c>
      <c r="DR119" s="1000"/>
      <c r="DS119" s="1000"/>
      <c r="DT119" s="1000"/>
      <c r="DU119" s="1001"/>
      <c r="DV119" s="1003">
        <v>0.2</v>
      </c>
      <c r="DW119" s="1004"/>
      <c r="DX119" s="1004"/>
      <c r="DY119" s="1004"/>
      <c r="DZ119" s="1005"/>
    </row>
    <row r="120" spans="1:130" s="197" customFormat="1" ht="26.25" customHeight="1">
      <c r="A120" s="977"/>
      <c r="B120" s="948"/>
      <c r="C120" s="918" t="s">
        <v>411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222</v>
      </c>
      <c r="AB120" s="961"/>
      <c r="AC120" s="961"/>
      <c r="AD120" s="961"/>
      <c r="AE120" s="962"/>
      <c r="AF120" s="963" t="s">
        <v>222</v>
      </c>
      <c r="AG120" s="961"/>
      <c r="AH120" s="961"/>
      <c r="AI120" s="961"/>
      <c r="AJ120" s="962"/>
      <c r="AK120" s="963" t="s">
        <v>222</v>
      </c>
      <c r="AL120" s="961"/>
      <c r="AM120" s="961"/>
      <c r="AN120" s="961"/>
      <c r="AO120" s="962"/>
      <c r="AP120" s="964" t="s">
        <v>222</v>
      </c>
      <c r="AQ120" s="965"/>
      <c r="AR120" s="965"/>
      <c r="AS120" s="965"/>
      <c r="AT120" s="966"/>
      <c r="AU120" s="982"/>
      <c r="AV120" s="983"/>
      <c r="AW120" s="983"/>
      <c r="AX120" s="983"/>
      <c r="AY120" s="984"/>
      <c r="AZ120" s="951" t="s">
        <v>436</v>
      </c>
      <c r="BA120" s="952"/>
      <c r="BB120" s="952"/>
      <c r="BC120" s="952"/>
      <c r="BD120" s="952"/>
      <c r="BE120" s="952"/>
      <c r="BF120" s="952"/>
      <c r="BG120" s="952"/>
      <c r="BH120" s="952"/>
      <c r="BI120" s="952"/>
      <c r="BJ120" s="952"/>
      <c r="BK120" s="952"/>
      <c r="BL120" s="952"/>
      <c r="BM120" s="952"/>
      <c r="BN120" s="952"/>
      <c r="BO120" s="952"/>
      <c r="BP120" s="953"/>
      <c r="BQ120" s="921">
        <v>135385</v>
      </c>
      <c r="BR120" s="922"/>
      <c r="BS120" s="922"/>
      <c r="BT120" s="922"/>
      <c r="BU120" s="922"/>
      <c r="BV120" s="922">
        <v>113325</v>
      </c>
      <c r="BW120" s="922"/>
      <c r="BX120" s="922"/>
      <c r="BY120" s="922"/>
      <c r="BZ120" s="922"/>
      <c r="CA120" s="922">
        <v>95048</v>
      </c>
      <c r="CB120" s="922"/>
      <c r="CC120" s="922"/>
      <c r="CD120" s="922"/>
      <c r="CE120" s="922"/>
      <c r="CF120" s="916">
        <v>1</v>
      </c>
      <c r="CG120" s="917"/>
      <c r="CH120" s="917"/>
      <c r="CI120" s="917"/>
      <c r="CJ120" s="917"/>
      <c r="CK120" s="1015" t="s">
        <v>437</v>
      </c>
      <c r="CL120" s="1016"/>
      <c r="CM120" s="1016"/>
      <c r="CN120" s="1016"/>
      <c r="CO120" s="1017"/>
      <c r="CP120" s="1023" t="s">
        <v>386</v>
      </c>
      <c r="CQ120" s="1024"/>
      <c r="CR120" s="1024"/>
      <c r="CS120" s="1024"/>
      <c r="CT120" s="1024"/>
      <c r="CU120" s="1024"/>
      <c r="CV120" s="1024"/>
      <c r="CW120" s="1024"/>
      <c r="CX120" s="1024"/>
      <c r="CY120" s="1024"/>
      <c r="CZ120" s="1024"/>
      <c r="DA120" s="1024"/>
      <c r="DB120" s="1024"/>
      <c r="DC120" s="1024"/>
      <c r="DD120" s="1024"/>
      <c r="DE120" s="1024"/>
      <c r="DF120" s="1025"/>
      <c r="DG120" s="928">
        <v>5024111</v>
      </c>
      <c r="DH120" s="929"/>
      <c r="DI120" s="929"/>
      <c r="DJ120" s="929"/>
      <c r="DK120" s="929"/>
      <c r="DL120" s="929">
        <v>4798724</v>
      </c>
      <c r="DM120" s="929"/>
      <c r="DN120" s="929"/>
      <c r="DO120" s="929"/>
      <c r="DP120" s="929"/>
      <c r="DQ120" s="929">
        <v>4564166</v>
      </c>
      <c r="DR120" s="929"/>
      <c r="DS120" s="929"/>
      <c r="DT120" s="929"/>
      <c r="DU120" s="929"/>
      <c r="DV120" s="930">
        <v>48.8</v>
      </c>
      <c r="DW120" s="930"/>
      <c r="DX120" s="930"/>
      <c r="DY120" s="930"/>
      <c r="DZ120" s="931"/>
    </row>
    <row r="121" spans="1:130" s="197" customFormat="1" ht="26.25" customHeight="1">
      <c r="A121" s="977"/>
      <c r="B121" s="948"/>
      <c r="C121" s="1012" t="s">
        <v>438</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1306</v>
      </c>
      <c r="AB121" s="961"/>
      <c r="AC121" s="961"/>
      <c r="AD121" s="961"/>
      <c r="AE121" s="962"/>
      <c r="AF121" s="963">
        <v>1306</v>
      </c>
      <c r="AG121" s="961"/>
      <c r="AH121" s="961"/>
      <c r="AI121" s="961"/>
      <c r="AJ121" s="962"/>
      <c r="AK121" s="963">
        <v>1306</v>
      </c>
      <c r="AL121" s="961"/>
      <c r="AM121" s="961"/>
      <c r="AN121" s="961"/>
      <c r="AO121" s="962"/>
      <c r="AP121" s="964">
        <v>0</v>
      </c>
      <c r="AQ121" s="965"/>
      <c r="AR121" s="965"/>
      <c r="AS121" s="965"/>
      <c r="AT121" s="966"/>
      <c r="AU121" s="982"/>
      <c r="AV121" s="983"/>
      <c r="AW121" s="983"/>
      <c r="AX121" s="983"/>
      <c r="AY121" s="984"/>
      <c r="AZ121" s="997" t="s">
        <v>439</v>
      </c>
      <c r="BA121" s="973"/>
      <c r="BB121" s="973"/>
      <c r="BC121" s="973"/>
      <c r="BD121" s="973"/>
      <c r="BE121" s="973"/>
      <c r="BF121" s="973"/>
      <c r="BG121" s="973"/>
      <c r="BH121" s="973"/>
      <c r="BI121" s="973"/>
      <c r="BJ121" s="973"/>
      <c r="BK121" s="973"/>
      <c r="BL121" s="973"/>
      <c r="BM121" s="973"/>
      <c r="BN121" s="973"/>
      <c r="BO121" s="973"/>
      <c r="BP121" s="974"/>
      <c r="BQ121" s="987">
        <v>18376547</v>
      </c>
      <c r="BR121" s="988"/>
      <c r="BS121" s="988"/>
      <c r="BT121" s="988"/>
      <c r="BU121" s="988"/>
      <c r="BV121" s="988">
        <v>18728106</v>
      </c>
      <c r="BW121" s="988"/>
      <c r="BX121" s="988"/>
      <c r="BY121" s="988"/>
      <c r="BZ121" s="988"/>
      <c r="CA121" s="988">
        <v>18592219</v>
      </c>
      <c r="CB121" s="988"/>
      <c r="CC121" s="988"/>
      <c r="CD121" s="988"/>
      <c r="CE121" s="988"/>
      <c r="CF121" s="1026">
        <v>198.8</v>
      </c>
      <c r="CG121" s="1027"/>
      <c r="CH121" s="1027"/>
      <c r="CI121" s="1027"/>
      <c r="CJ121" s="1027"/>
      <c r="CK121" s="1018"/>
      <c r="CL121" s="1019"/>
      <c r="CM121" s="1019"/>
      <c r="CN121" s="1019"/>
      <c r="CO121" s="1020"/>
      <c r="CP121" s="1009" t="s">
        <v>387</v>
      </c>
      <c r="CQ121" s="1010"/>
      <c r="CR121" s="1010"/>
      <c r="CS121" s="1010"/>
      <c r="CT121" s="1010"/>
      <c r="CU121" s="1010"/>
      <c r="CV121" s="1010"/>
      <c r="CW121" s="1010"/>
      <c r="CX121" s="1010"/>
      <c r="CY121" s="1010"/>
      <c r="CZ121" s="1010"/>
      <c r="DA121" s="1010"/>
      <c r="DB121" s="1010"/>
      <c r="DC121" s="1010"/>
      <c r="DD121" s="1010"/>
      <c r="DE121" s="1010"/>
      <c r="DF121" s="1011"/>
      <c r="DG121" s="921">
        <v>3139115</v>
      </c>
      <c r="DH121" s="922"/>
      <c r="DI121" s="922"/>
      <c r="DJ121" s="922"/>
      <c r="DK121" s="922"/>
      <c r="DL121" s="922">
        <v>2857636</v>
      </c>
      <c r="DM121" s="922"/>
      <c r="DN121" s="922"/>
      <c r="DO121" s="922"/>
      <c r="DP121" s="922"/>
      <c r="DQ121" s="922">
        <v>2903633</v>
      </c>
      <c r="DR121" s="922"/>
      <c r="DS121" s="922"/>
      <c r="DT121" s="922"/>
      <c r="DU121" s="922"/>
      <c r="DV121" s="923">
        <v>31.1</v>
      </c>
      <c r="DW121" s="923"/>
      <c r="DX121" s="923"/>
      <c r="DY121" s="923"/>
      <c r="DZ121" s="924"/>
    </row>
    <row r="122" spans="1:130" s="197" customFormat="1" ht="26.25" customHeight="1">
      <c r="A122" s="977"/>
      <c r="B122" s="948"/>
      <c r="C122" s="918" t="s">
        <v>421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222</v>
      </c>
      <c r="AB122" s="961"/>
      <c r="AC122" s="961"/>
      <c r="AD122" s="961"/>
      <c r="AE122" s="962"/>
      <c r="AF122" s="963" t="s">
        <v>222</v>
      </c>
      <c r="AG122" s="961"/>
      <c r="AH122" s="961"/>
      <c r="AI122" s="961"/>
      <c r="AJ122" s="962"/>
      <c r="AK122" s="963" t="s">
        <v>222</v>
      </c>
      <c r="AL122" s="961"/>
      <c r="AM122" s="961"/>
      <c r="AN122" s="961"/>
      <c r="AO122" s="962"/>
      <c r="AP122" s="964" t="s">
        <v>222</v>
      </c>
      <c r="AQ122" s="965"/>
      <c r="AR122" s="965"/>
      <c r="AS122" s="965"/>
      <c r="AT122" s="966"/>
      <c r="AU122" s="985"/>
      <c r="AV122" s="986"/>
      <c r="AW122" s="986"/>
      <c r="AX122" s="986"/>
      <c r="AY122" s="986"/>
      <c r="AZ122" s="228" t="s">
        <v>171</v>
      </c>
      <c r="BA122" s="228"/>
      <c r="BB122" s="228"/>
      <c r="BC122" s="228"/>
      <c r="BD122" s="228"/>
      <c r="BE122" s="228"/>
      <c r="BF122" s="228"/>
      <c r="BG122" s="228"/>
      <c r="BH122" s="228"/>
      <c r="BI122" s="228"/>
      <c r="BJ122" s="228"/>
      <c r="BK122" s="228"/>
      <c r="BL122" s="228"/>
      <c r="BM122" s="228"/>
      <c r="BN122" s="228"/>
      <c r="BO122" s="995" t="s">
        <v>440</v>
      </c>
      <c r="BP122" s="996"/>
      <c r="BQ122" s="1036">
        <v>29016398</v>
      </c>
      <c r="BR122" s="1037"/>
      <c r="BS122" s="1037"/>
      <c r="BT122" s="1037"/>
      <c r="BU122" s="1037"/>
      <c r="BV122" s="1037">
        <v>29122249</v>
      </c>
      <c r="BW122" s="1037"/>
      <c r="BX122" s="1037"/>
      <c r="BY122" s="1037"/>
      <c r="BZ122" s="1037"/>
      <c r="CA122" s="1037">
        <v>28204674</v>
      </c>
      <c r="CB122" s="1037"/>
      <c r="CC122" s="1037"/>
      <c r="CD122" s="1037"/>
      <c r="CE122" s="1037"/>
      <c r="CF122" s="989"/>
      <c r="CG122" s="990"/>
      <c r="CH122" s="990"/>
      <c r="CI122" s="990"/>
      <c r="CJ122" s="991"/>
      <c r="CK122" s="1018"/>
      <c r="CL122" s="1019"/>
      <c r="CM122" s="1019"/>
      <c r="CN122" s="1019"/>
      <c r="CO122" s="1020"/>
      <c r="CP122" s="1009" t="s">
        <v>384</v>
      </c>
      <c r="CQ122" s="1010"/>
      <c r="CR122" s="1010"/>
      <c r="CS122" s="1010"/>
      <c r="CT122" s="1010"/>
      <c r="CU122" s="1010"/>
      <c r="CV122" s="1010"/>
      <c r="CW122" s="1010"/>
      <c r="CX122" s="1010"/>
      <c r="CY122" s="1010"/>
      <c r="CZ122" s="1010"/>
      <c r="DA122" s="1010"/>
      <c r="DB122" s="1010"/>
      <c r="DC122" s="1010"/>
      <c r="DD122" s="1010"/>
      <c r="DE122" s="1010"/>
      <c r="DF122" s="1011"/>
      <c r="DG122" s="921">
        <v>1974567</v>
      </c>
      <c r="DH122" s="922"/>
      <c r="DI122" s="922"/>
      <c r="DJ122" s="922"/>
      <c r="DK122" s="922"/>
      <c r="DL122" s="922">
        <v>2148657</v>
      </c>
      <c r="DM122" s="922"/>
      <c r="DN122" s="922"/>
      <c r="DO122" s="922"/>
      <c r="DP122" s="922"/>
      <c r="DQ122" s="922">
        <v>2293814</v>
      </c>
      <c r="DR122" s="922"/>
      <c r="DS122" s="922"/>
      <c r="DT122" s="922"/>
      <c r="DU122" s="922"/>
      <c r="DV122" s="923">
        <v>24.5</v>
      </c>
      <c r="DW122" s="923"/>
      <c r="DX122" s="923"/>
      <c r="DY122" s="923"/>
      <c r="DZ122" s="924"/>
    </row>
    <row r="123" spans="1:130" s="197" customFormat="1" ht="26.25" customHeight="1" thickBot="1">
      <c r="A123" s="977"/>
      <c r="B123" s="948"/>
      <c r="C123" s="918" t="s">
        <v>427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222</v>
      </c>
      <c r="AB123" s="961"/>
      <c r="AC123" s="961"/>
      <c r="AD123" s="961"/>
      <c r="AE123" s="962"/>
      <c r="AF123" s="963" t="s">
        <v>222</v>
      </c>
      <c r="AG123" s="961"/>
      <c r="AH123" s="961"/>
      <c r="AI123" s="961"/>
      <c r="AJ123" s="962"/>
      <c r="AK123" s="963" t="s">
        <v>222</v>
      </c>
      <c r="AL123" s="961"/>
      <c r="AM123" s="961"/>
      <c r="AN123" s="961"/>
      <c r="AO123" s="962"/>
      <c r="AP123" s="964" t="s">
        <v>222</v>
      </c>
      <c r="AQ123" s="965"/>
      <c r="AR123" s="965"/>
      <c r="AS123" s="965"/>
      <c r="AT123" s="966"/>
      <c r="AU123" s="1033" t="s">
        <v>441</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3</v>
      </c>
      <c r="BR123" s="1029"/>
      <c r="BS123" s="1029"/>
      <c r="BT123" s="1029"/>
      <c r="BU123" s="1029"/>
      <c r="BV123" s="1029">
        <v>10</v>
      </c>
      <c r="BW123" s="1029"/>
      <c r="BX123" s="1029"/>
      <c r="BY123" s="1029"/>
      <c r="BZ123" s="1029"/>
      <c r="CA123" s="1029">
        <v>20.9</v>
      </c>
      <c r="CB123" s="1029"/>
      <c r="CC123" s="1029"/>
      <c r="CD123" s="1029"/>
      <c r="CE123" s="1029"/>
      <c r="CF123" s="1030"/>
      <c r="CG123" s="1031"/>
      <c r="CH123" s="1031"/>
      <c r="CI123" s="1031"/>
      <c r="CJ123" s="1032"/>
      <c r="CK123" s="1018"/>
      <c r="CL123" s="1019"/>
      <c r="CM123" s="1019"/>
      <c r="CN123" s="1019"/>
      <c r="CO123" s="1020"/>
      <c r="CP123" s="1009" t="s">
        <v>382</v>
      </c>
      <c r="CQ123" s="1010"/>
      <c r="CR123" s="1010"/>
      <c r="CS123" s="1010"/>
      <c r="CT123" s="1010"/>
      <c r="CU123" s="1010"/>
      <c r="CV123" s="1010"/>
      <c r="CW123" s="1010"/>
      <c r="CX123" s="1010"/>
      <c r="CY123" s="1010"/>
      <c r="CZ123" s="1010"/>
      <c r="DA123" s="1010"/>
      <c r="DB123" s="1010"/>
      <c r="DC123" s="1010"/>
      <c r="DD123" s="1010"/>
      <c r="DE123" s="1010"/>
      <c r="DF123" s="1011"/>
      <c r="DG123" s="960">
        <v>576234</v>
      </c>
      <c r="DH123" s="961"/>
      <c r="DI123" s="961"/>
      <c r="DJ123" s="961"/>
      <c r="DK123" s="962"/>
      <c r="DL123" s="963">
        <v>838095</v>
      </c>
      <c r="DM123" s="961"/>
      <c r="DN123" s="961"/>
      <c r="DO123" s="961"/>
      <c r="DP123" s="962"/>
      <c r="DQ123" s="963">
        <v>1066564</v>
      </c>
      <c r="DR123" s="961"/>
      <c r="DS123" s="961"/>
      <c r="DT123" s="961"/>
      <c r="DU123" s="962"/>
      <c r="DV123" s="964">
        <v>11.4</v>
      </c>
      <c r="DW123" s="965"/>
      <c r="DX123" s="965"/>
      <c r="DY123" s="965"/>
      <c r="DZ123" s="966"/>
    </row>
    <row r="124" spans="1:130" s="197" customFormat="1" ht="26.25" customHeight="1">
      <c r="A124" s="977"/>
      <c r="B124" s="948"/>
      <c r="C124" s="918" t="s">
        <v>430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222</v>
      </c>
      <c r="AB124" s="961"/>
      <c r="AC124" s="961"/>
      <c r="AD124" s="961"/>
      <c r="AE124" s="962"/>
      <c r="AF124" s="963" t="s">
        <v>222</v>
      </c>
      <c r="AG124" s="961"/>
      <c r="AH124" s="961"/>
      <c r="AI124" s="961"/>
      <c r="AJ124" s="962"/>
      <c r="AK124" s="963" t="s">
        <v>222</v>
      </c>
      <c r="AL124" s="961"/>
      <c r="AM124" s="961"/>
      <c r="AN124" s="961"/>
      <c r="AO124" s="962"/>
      <c r="AP124" s="964" t="s">
        <v>222</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442</v>
      </c>
      <c r="CQ124" s="1010"/>
      <c r="CR124" s="1010"/>
      <c r="CS124" s="1010"/>
      <c r="CT124" s="1010"/>
      <c r="CU124" s="1010"/>
      <c r="CV124" s="1010"/>
      <c r="CW124" s="1010"/>
      <c r="CX124" s="1010"/>
      <c r="CY124" s="1010"/>
      <c r="CZ124" s="1010"/>
      <c r="DA124" s="1010"/>
      <c r="DB124" s="1010"/>
      <c r="DC124" s="1010"/>
      <c r="DD124" s="1010"/>
      <c r="DE124" s="1010"/>
      <c r="DF124" s="1011"/>
      <c r="DG124" s="999" t="s">
        <v>222</v>
      </c>
      <c r="DH124" s="1000"/>
      <c r="DI124" s="1000"/>
      <c r="DJ124" s="1000"/>
      <c r="DK124" s="1001"/>
      <c r="DL124" s="1002" t="s">
        <v>222</v>
      </c>
      <c r="DM124" s="1000"/>
      <c r="DN124" s="1000"/>
      <c r="DO124" s="1000"/>
      <c r="DP124" s="1001"/>
      <c r="DQ124" s="1002" t="s">
        <v>222</v>
      </c>
      <c r="DR124" s="1000"/>
      <c r="DS124" s="1000"/>
      <c r="DT124" s="1000"/>
      <c r="DU124" s="1001"/>
      <c r="DV124" s="1003" t="s">
        <v>222</v>
      </c>
      <c r="DW124" s="1004"/>
      <c r="DX124" s="1004"/>
      <c r="DY124" s="1004"/>
      <c r="DZ124" s="1005"/>
    </row>
    <row r="125" spans="1:130" s="197" customFormat="1" ht="26.25" customHeight="1" thickBot="1">
      <c r="A125" s="977"/>
      <c r="B125" s="948"/>
      <c r="C125" s="918" t="s">
        <v>432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222</v>
      </c>
      <c r="AB125" s="961"/>
      <c r="AC125" s="961"/>
      <c r="AD125" s="961"/>
      <c r="AE125" s="962"/>
      <c r="AF125" s="963" t="s">
        <v>222</v>
      </c>
      <c r="AG125" s="961"/>
      <c r="AH125" s="961"/>
      <c r="AI125" s="961"/>
      <c r="AJ125" s="962"/>
      <c r="AK125" s="963" t="s">
        <v>222</v>
      </c>
      <c r="AL125" s="961"/>
      <c r="AM125" s="961"/>
      <c r="AN125" s="961"/>
      <c r="AO125" s="962"/>
      <c r="AP125" s="964" t="s">
        <v>222</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443</v>
      </c>
      <c r="CL125" s="1016"/>
      <c r="CM125" s="1016"/>
      <c r="CN125" s="1016"/>
      <c r="CO125" s="1017"/>
      <c r="CP125" s="942" t="s">
        <v>444</v>
      </c>
      <c r="CQ125" s="889"/>
      <c r="CR125" s="889"/>
      <c r="CS125" s="889"/>
      <c r="CT125" s="889"/>
      <c r="CU125" s="889"/>
      <c r="CV125" s="889"/>
      <c r="CW125" s="889"/>
      <c r="CX125" s="889"/>
      <c r="CY125" s="889"/>
      <c r="CZ125" s="889"/>
      <c r="DA125" s="889"/>
      <c r="DB125" s="889"/>
      <c r="DC125" s="889"/>
      <c r="DD125" s="889"/>
      <c r="DE125" s="889"/>
      <c r="DF125" s="890"/>
      <c r="DG125" s="928" t="s">
        <v>222</v>
      </c>
      <c r="DH125" s="929"/>
      <c r="DI125" s="929"/>
      <c r="DJ125" s="929"/>
      <c r="DK125" s="929"/>
      <c r="DL125" s="929" t="s">
        <v>222</v>
      </c>
      <c r="DM125" s="929"/>
      <c r="DN125" s="929"/>
      <c r="DO125" s="929"/>
      <c r="DP125" s="929"/>
      <c r="DQ125" s="929" t="s">
        <v>222</v>
      </c>
      <c r="DR125" s="929"/>
      <c r="DS125" s="929"/>
      <c r="DT125" s="929"/>
      <c r="DU125" s="929"/>
      <c r="DV125" s="930" t="s">
        <v>222</v>
      </c>
      <c r="DW125" s="930"/>
      <c r="DX125" s="930"/>
      <c r="DY125" s="930"/>
      <c r="DZ125" s="931"/>
    </row>
    <row r="126" spans="1:130" s="197" customFormat="1" ht="26.25" customHeight="1">
      <c r="A126" s="977"/>
      <c r="B126" s="948"/>
      <c r="C126" s="918" t="s">
        <v>435</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11290</v>
      </c>
      <c r="AB126" s="961"/>
      <c r="AC126" s="961"/>
      <c r="AD126" s="961"/>
      <c r="AE126" s="962"/>
      <c r="AF126" s="963">
        <v>11290</v>
      </c>
      <c r="AG126" s="961"/>
      <c r="AH126" s="961"/>
      <c r="AI126" s="961"/>
      <c r="AJ126" s="962"/>
      <c r="AK126" s="963">
        <v>11612</v>
      </c>
      <c r="AL126" s="961"/>
      <c r="AM126" s="961"/>
      <c r="AN126" s="961"/>
      <c r="AO126" s="962"/>
      <c r="AP126" s="964">
        <v>0.1</v>
      </c>
      <c r="AQ126" s="965"/>
      <c r="AR126" s="965"/>
      <c r="AS126" s="965"/>
      <c r="AT126" s="966"/>
      <c r="AU126" s="233"/>
      <c r="AV126" s="233"/>
      <c r="AW126" s="233"/>
      <c r="AX126" s="1038" t="s">
        <v>445</v>
      </c>
      <c r="AY126" s="1039"/>
      <c r="AZ126" s="1039"/>
      <c r="BA126" s="1039"/>
      <c r="BB126" s="1039"/>
      <c r="BC126" s="1039"/>
      <c r="BD126" s="1039"/>
      <c r="BE126" s="1040"/>
      <c r="BF126" s="1054" t="s">
        <v>446</v>
      </c>
      <c r="BG126" s="1039"/>
      <c r="BH126" s="1039"/>
      <c r="BI126" s="1039"/>
      <c r="BJ126" s="1039"/>
      <c r="BK126" s="1039"/>
      <c r="BL126" s="1040"/>
      <c r="BM126" s="1054" t="s">
        <v>447</v>
      </c>
      <c r="BN126" s="1039"/>
      <c r="BO126" s="1039"/>
      <c r="BP126" s="1039"/>
      <c r="BQ126" s="1039"/>
      <c r="BR126" s="1039"/>
      <c r="BS126" s="1040"/>
      <c r="BT126" s="1054" t="s">
        <v>448</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449</v>
      </c>
      <c r="CQ126" s="952"/>
      <c r="CR126" s="952"/>
      <c r="CS126" s="952"/>
      <c r="CT126" s="952"/>
      <c r="CU126" s="952"/>
      <c r="CV126" s="952"/>
      <c r="CW126" s="952"/>
      <c r="CX126" s="952"/>
      <c r="CY126" s="952"/>
      <c r="CZ126" s="952"/>
      <c r="DA126" s="952"/>
      <c r="DB126" s="952"/>
      <c r="DC126" s="952"/>
      <c r="DD126" s="952"/>
      <c r="DE126" s="952"/>
      <c r="DF126" s="953"/>
      <c r="DG126" s="921" t="s">
        <v>222</v>
      </c>
      <c r="DH126" s="922"/>
      <c r="DI126" s="922"/>
      <c r="DJ126" s="922"/>
      <c r="DK126" s="922"/>
      <c r="DL126" s="922" t="s">
        <v>222</v>
      </c>
      <c r="DM126" s="922"/>
      <c r="DN126" s="922"/>
      <c r="DO126" s="922"/>
      <c r="DP126" s="922"/>
      <c r="DQ126" s="922" t="s">
        <v>222</v>
      </c>
      <c r="DR126" s="922"/>
      <c r="DS126" s="922"/>
      <c r="DT126" s="922"/>
      <c r="DU126" s="922"/>
      <c r="DV126" s="923" t="s">
        <v>222</v>
      </c>
      <c r="DW126" s="923"/>
      <c r="DX126" s="923"/>
      <c r="DY126" s="923"/>
      <c r="DZ126" s="924"/>
    </row>
    <row r="127" spans="1:130" s="197" customFormat="1" ht="26.25" customHeight="1" thickBot="1">
      <c r="A127" s="978"/>
      <c r="B127" s="950"/>
      <c r="C127" s="1006" t="s">
        <v>450</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v>224</v>
      </c>
      <c r="AB127" s="961"/>
      <c r="AC127" s="961"/>
      <c r="AD127" s="961"/>
      <c r="AE127" s="962"/>
      <c r="AF127" s="963">
        <v>363</v>
      </c>
      <c r="AG127" s="961"/>
      <c r="AH127" s="961"/>
      <c r="AI127" s="961"/>
      <c r="AJ127" s="962"/>
      <c r="AK127" s="963">
        <v>318</v>
      </c>
      <c r="AL127" s="961"/>
      <c r="AM127" s="961"/>
      <c r="AN127" s="961"/>
      <c r="AO127" s="962"/>
      <c r="AP127" s="964">
        <v>0</v>
      </c>
      <c r="AQ127" s="965"/>
      <c r="AR127" s="965"/>
      <c r="AS127" s="965"/>
      <c r="AT127" s="966"/>
      <c r="AU127" s="233"/>
      <c r="AV127" s="233"/>
      <c r="AW127" s="233"/>
      <c r="AX127" s="888" t="s">
        <v>451</v>
      </c>
      <c r="AY127" s="889"/>
      <c r="AZ127" s="889"/>
      <c r="BA127" s="889"/>
      <c r="BB127" s="889"/>
      <c r="BC127" s="889"/>
      <c r="BD127" s="889"/>
      <c r="BE127" s="890"/>
      <c r="BF127" s="1043" t="s">
        <v>222</v>
      </c>
      <c r="BG127" s="1044"/>
      <c r="BH127" s="1044"/>
      <c r="BI127" s="1044"/>
      <c r="BJ127" s="1044"/>
      <c r="BK127" s="1044"/>
      <c r="BL127" s="1053"/>
      <c r="BM127" s="1043">
        <v>13.2</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452</v>
      </c>
      <c r="CQ127" s="1047"/>
      <c r="CR127" s="1047"/>
      <c r="CS127" s="1047"/>
      <c r="CT127" s="1047"/>
      <c r="CU127" s="1047"/>
      <c r="CV127" s="1047"/>
      <c r="CW127" s="1047"/>
      <c r="CX127" s="1047"/>
      <c r="CY127" s="1047"/>
      <c r="CZ127" s="1047"/>
      <c r="DA127" s="1047"/>
      <c r="DB127" s="1047"/>
      <c r="DC127" s="1047"/>
      <c r="DD127" s="1047"/>
      <c r="DE127" s="1047"/>
      <c r="DF127" s="1048"/>
      <c r="DG127" s="1049" t="s">
        <v>222</v>
      </c>
      <c r="DH127" s="1050"/>
      <c r="DI127" s="1050"/>
      <c r="DJ127" s="1050"/>
      <c r="DK127" s="1050"/>
      <c r="DL127" s="1050" t="s">
        <v>222</v>
      </c>
      <c r="DM127" s="1050"/>
      <c r="DN127" s="1050"/>
      <c r="DO127" s="1050"/>
      <c r="DP127" s="1050"/>
      <c r="DQ127" s="1050" t="s">
        <v>222</v>
      </c>
      <c r="DR127" s="1050"/>
      <c r="DS127" s="1050"/>
      <c r="DT127" s="1050"/>
      <c r="DU127" s="1050"/>
      <c r="DV127" s="1051" t="s">
        <v>222</v>
      </c>
      <c r="DW127" s="1051"/>
      <c r="DX127" s="1051"/>
      <c r="DY127" s="1051"/>
      <c r="DZ127" s="1052"/>
    </row>
    <row r="128" spans="1:130" s="197" customFormat="1" ht="26.25" customHeigh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91">
        <v>26108</v>
      </c>
      <c r="AB128" s="1092"/>
      <c r="AC128" s="1092"/>
      <c r="AD128" s="1092"/>
      <c r="AE128" s="1093"/>
      <c r="AF128" s="1094">
        <v>23965</v>
      </c>
      <c r="AG128" s="1092"/>
      <c r="AH128" s="1092"/>
      <c r="AI128" s="1092"/>
      <c r="AJ128" s="1093"/>
      <c r="AK128" s="1094">
        <v>27542</v>
      </c>
      <c r="AL128" s="1092"/>
      <c r="AM128" s="1092"/>
      <c r="AN128" s="1092"/>
      <c r="AO128" s="1093"/>
      <c r="AP128" s="1095"/>
      <c r="AQ128" s="1096"/>
      <c r="AR128" s="1096"/>
      <c r="AS128" s="1096"/>
      <c r="AT128" s="1097"/>
      <c r="AU128" s="235"/>
      <c r="AV128" s="235"/>
      <c r="AW128" s="235"/>
      <c r="AX128" s="1056" t="s">
        <v>455</v>
      </c>
      <c r="AY128" s="952"/>
      <c r="AZ128" s="952"/>
      <c r="BA128" s="952"/>
      <c r="BB128" s="952"/>
      <c r="BC128" s="952"/>
      <c r="BD128" s="952"/>
      <c r="BE128" s="953"/>
      <c r="BF128" s="1068" t="s">
        <v>222</v>
      </c>
      <c r="BG128" s="1069"/>
      <c r="BH128" s="1069"/>
      <c r="BI128" s="1069"/>
      <c r="BJ128" s="1069"/>
      <c r="BK128" s="1069"/>
      <c r="BL128" s="1070"/>
      <c r="BM128" s="1068">
        <v>18.2</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456</v>
      </c>
      <c r="X129" s="1063"/>
      <c r="Y129" s="1063"/>
      <c r="Z129" s="1064"/>
      <c r="AA129" s="960">
        <v>11026376</v>
      </c>
      <c r="AB129" s="961"/>
      <c r="AC129" s="961"/>
      <c r="AD129" s="961"/>
      <c r="AE129" s="962"/>
      <c r="AF129" s="963">
        <v>11181481</v>
      </c>
      <c r="AG129" s="961"/>
      <c r="AH129" s="961"/>
      <c r="AI129" s="961"/>
      <c r="AJ129" s="962"/>
      <c r="AK129" s="963">
        <v>10841503</v>
      </c>
      <c r="AL129" s="961"/>
      <c r="AM129" s="961"/>
      <c r="AN129" s="961"/>
      <c r="AO129" s="962"/>
      <c r="AP129" s="1065"/>
      <c r="AQ129" s="1066"/>
      <c r="AR129" s="1066"/>
      <c r="AS129" s="1066"/>
      <c r="AT129" s="1067"/>
      <c r="AU129" s="235"/>
      <c r="AV129" s="235"/>
      <c r="AW129" s="235"/>
      <c r="AX129" s="1056" t="s">
        <v>457</v>
      </c>
      <c r="AY129" s="952"/>
      <c r="AZ129" s="952"/>
      <c r="BA129" s="952"/>
      <c r="BB129" s="952"/>
      <c r="BC129" s="952"/>
      <c r="BD129" s="952"/>
      <c r="BE129" s="953"/>
      <c r="BF129" s="1057">
        <v>4</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458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459</v>
      </c>
      <c r="X130" s="1063"/>
      <c r="Y130" s="1063"/>
      <c r="Z130" s="1064"/>
      <c r="AA130" s="960">
        <v>1346112</v>
      </c>
      <c r="AB130" s="961"/>
      <c r="AC130" s="961"/>
      <c r="AD130" s="961"/>
      <c r="AE130" s="962"/>
      <c r="AF130" s="963">
        <v>1395157</v>
      </c>
      <c r="AG130" s="961"/>
      <c r="AH130" s="961"/>
      <c r="AI130" s="961"/>
      <c r="AJ130" s="962"/>
      <c r="AK130" s="963">
        <v>1490961</v>
      </c>
      <c r="AL130" s="961"/>
      <c r="AM130" s="961"/>
      <c r="AN130" s="961"/>
      <c r="AO130" s="962"/>
      <c r="AP130" s="1065"/>
      <c r="AQ130" s="1066"/>
      <c r="AR130" s="1066"/>
      <c r="AS130" s="1066"/>
      <c r="AT130" s="1067"/>
      <c r="AU130" s="235"/>
      <c r="AV130" s="235"/>
      <c r="AW130" s="235"/>
      <c r="AX130" s="1115" t="s">
        <v>460</v>
      </c>
      <c r="AY130" s="1047"/>
      <c r="AZ130" s="1047"/>
      <c r="BA130" s="1047"/>
      <c r="BB130" s="1047"/>
      <c r="BC130" s="1047"/>
      <c r="BD130" s="1047"/>
      <c r="BE130" s="1048"/>
      <c r="BF130" s="1077">
        <v>20.9</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461</v>
      </c>
      <c r="X131" s="1086"/>
      <c r="Y131" s="1086"/>
      <c r="Z131" s="1087"/>
      <c r="AA131" s="999">
        <v>9680264</v>
      </c>
      <c r="AB131" s="1000"/>
      <c r="AC131" s="1000"/>
      <c r="AD131" s="1000"/>
      <c r="AE131" s="1001"/>
      <c r="AF131" s="1002">
        <v>9786324</v>
      </c>
      <c r="AG131" s="1000"/>
      <c r="AH131" s="1000"/>
      <c r="AI131" s="1000"/>
      <c r="AJ131" s="1001"/>
      <c r="AK131" s="1002">
        <v>9350542</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463</v>
      </c>
      <c r="W132" s="1103"/>
      <c r="X132" s="1103"/>
      <c r="Y132" s="1103"/>
      <c r="Z132" s="1104"/>
      <c r="AA132" s="1105">
        <v>4.187044899</v>
      </c>
      <c r="AB132" s="1106"/>
      <c r="AC132" s="1106"/>
      <c r="AD132" s="1106"/>
      <c r="AE132" s="1107"/>
      <c r="AF132" s="1108">
        <v>4.1738450519999999</v>
      </c>
      <c r="AG132" s="1106"/>
      <c r="AH132" s="1106"/>
      <c r="AI132" s="1106"/>
      <c r="AJ132" s="1107"/>
      <c r="AK132" s="1108">
        <v>3.731088529</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464</v>
      </c>
      <c r="W133" s="1110"/>
      <c r="X133" s="1110"/>
      <c r="Y133" s="1110"/>
      <c r="Z133" s="1111"/>
      <c r="AA133" s="1112">
        <v>4.5</v>
      </c>
      <c r="AB133" s="1113"/>
      <c r="AC133" s="1113"/>
      <c r="AD133" s="1113"/>
      <c r="AE133" s="1114"/>
      <c r="AF133" s="1112">
        <v>4.0999999999999996</v>
      </c>
      <c r="AG133" s="1113"/>
      <c r="AH133" s="1113"/>
      <c r="AI133" s="1113"/>
      <c r="AJ133" s="1114"/>
      <c r="AK133" s="1112">
        <v>4</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98425196850393704" bottom="0.39370078740157483" header="0.39370078740157483" footer="0.19685039370078741"/>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21" t="s">
        <v>472</v>
      </c>
      <c r="H9" s="1122"/>
      <c r="I9" s="1122"/>
      <c r="J9" s="1123"/>
      <c r="K9" s="263">
        <v>2330555</v>
      </c>
      <c r="L9" s="264">
        <v>65826</v>
      </c>
      <c r="M9" s="265">
        <v>84248</v>
      </c>
      <c r="N9" s="266">
        <v>-21.9</v>
      </c>
    </row>
    <row r="10" spans="1:16">
      <c r="A10" s="248"/>
      <c r="B10" s="244"/>
      <c r="C10" s="244"/>
      <c r="D10" s="244"/>
      <c r="E10" s="244"/>
      <c r="F10" s="244"/>
      <c r="G10" s="1121" t="s">
        <v>473</v>
      </c>
      <c r="H10" s="1122"/>
      <c r="I10" s="1122"/>
      <c r="J10" s="1123"/>
      <c r="K10" s="267">
        <v>338651</v>
      </c>
      <c r="L10" s="268">
        <v>9565</v>
      </c>
      <c r="M10" s="269">
        <v>7169</v>
      </c>
      <c r="N10" s="270">
        <v>33.4</v>
      </c>
    </row>
    <row r="11" spans="1:16" ht="13.5" customHeight="1">
      <c r="A11" s="248"/>
      <c r="B11" s="244"/>
      <c r="C11" s="244"/>
      <c r="D11" s="244"/>
      <c r="E11" s="244"/>
      <c r="F11" s="244"/>
      <c r="G11" s="1121" t="s">
        <v>474</v>
      </c>
      <c r="H11" s="1122"/>
      <c r="I11" s="1122"/>
      <c r="J11" s="1123"/>
      <c r="K11" s="267">
        <v>473631</v>
      </c>
      <c r="L11" s="268">
        <v>13378</v>
      </c>
      <c r="M11" s="269">
        <v>9152</v>
      </c>
      <c r="N11" s="270">
        <v>46.2</v>
      </c>
    </row>
    <row r="12" spans="1:16" ht="13.5" customHeight="1">
      <c r="A12" s="248"/>
      <c r="B12" s="244"/>
      <c r="C12" s="244"/>
      <c r="D12" s="244"/>
      <c r="E12" s="244"/>
      <c r="F12" s="244"/>
      <c r="G12" s="1121" t="s">
        <v>475</v>
      </c>
      <c r="H12" s="1122"/>
      <c r="I12" s="1122"/>
      <c r="J12" s="1123"/>
      <c r="K12" s="267" t="s">
        <v>476</v>
      </c>
      <c r="L12" s="268" t="s">
        <v>476</v>
      </c>
      <c r="M12" s="269">
        <v>893</v>
      </c>
      <c r="N12" s="270" t="s">
        <v>476</v>
      </c>
    </row>
    <row r="13" spans="1:16" ht="13.5" customHeight="1">
      <c r="A13" s="248"/>
      <c r="B13" s="244"/>
      <c r="C13" s="244"/>
      <c r="D13" s="244"/>
      <c r="E13" s="244"/>
      <c r="F13" s="244"/>
      <c r="G13" s="1121" t="s">
        <v>477</v>
      </c>
      <c r="H13" s="1122"/>
      <c r="I13" s="1122"/>
      <c r="J13" s="1123"/>
      <c r="K13" s="267" t="s">
        <v>476</v>
      </c>
      <c r="L13" s="268" t="s">
        <v>476</v>
      </c>
      <c r="M13" s="269">
        <v>3</v>
      </c>
      <c r="N13" s="270" t="s">
        <v>476</v>
      </c>
    </row>
    <row r="14" spans="1:16" ht="13.5" customHeight="1">
      <c r="A14" s="248"/>
      <c r="B14" s="244"/>
      <c r="C14" s="244"/>
      <c r="D14" s="244"/>
      <c r="E14" s="244"/>
      <c r="F14" s="244"/>
      <c r="G14" s="1121" t="s">
        <v>478</v>
      </c>
      <c r="H14" s="1122"/>
      <c r="I14" s="1122"/>
      <c r="J14" s="1123"/>
      <c r="K14" s="267">
        <v>140777</v>
      </c>
      <c r="L14" s="268">
        <v>3976</v>
      </c>
      <c r="M14" s="269">
        <v>3652</v>
      </c>
      <c r="N14" s="270">
        <v>8.9</v>
      </c>
    </row>
    <row r="15" spans="1:16" ht="13.5" customHeight="1">
      <c r="A15" s="248"/>
      <c r="B15" s="244"/>
      <c r="C15" s="244"/>
      <c r="D15" s="244"/>
      <c r="E15" s="244"/>
      <c r="F15" s="244"/>
      <c r="G15" s="1121" t="s">
        <v>479</v>
      </c>
      <c r="H15" s="1122"/>
      <c r="I15" s="1122"/>
      <c r="J15" s="1123"/>
      <c r="K15" s="267">
        <v>67584</v>
      </c>
      <c r="L15" s="268">
        <v>1909</v>
      </c>
      <c r="M15" s="269">
        <v>2134</v>
      </c>
      <c r="N15" s="270">
        <v>-10.5</v>
      </c>
    </row>
    <row r="16" spans="1:16">
      <c r="A16" s="248"/>
      <c r="B16" s="244"/>
      <c r="C16" s="244"/>
      <c r="D16" s="244"/>
      <c r="E16" s="244"/>
      <c r="F16" s="244"/>
      <c r="G16" s="1124" t="s">
        <v>480</v>
      </c>
      <c r="H16" s="1125"/>
      <c r="I16" s="1125"/>
      <c r="J16" s="1126"/>
      <c r="K16" s="268">
        <v>-169985</v>
      </c>
      <c r="L16" s="268">
        <v>-4801</v>
      </c>
      <c r="M16" s="269">
        <v>-9248</v>
      </c>
      <c r="N16" s="270">
        <v>-48.1</v>
      </c>
    </row>
    <row r="17" spans="1:16">
      <c r="A17" s="248"/>
      <c r="B17" s="244"/>
      <c r="C17" s="244"/>
      <c r="D17" s="244"/>
      <c r="E17" s="244"/>
      <c r="F17" s="244"/>
      <c r="G17" s="1124" t="s">
        <v>171</v>
      </c>
      <c r="H17" s="1125"/>
      <c r="I17" s="1125"/>
      <c r="J17" s="1126"/>
      <c r="K17" s="268">
        <v>3181213</v>
      </c>
      <c r="L17" s="268">
        <v>89852</v>
      </c>
      <c r="M17" s="269">
        <v>98003</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6" t="s">
        <v>485</v>
      </c>
      <c r="H21" s="1117"/>
      <c r="I21" s="1117"/>
      <c r="J21" s="1118"/>
      <c r="K21" s="280">
        <v>8.02</v>
      </c>
      <c r="L21" s="281">
        <v>9.39</v>
      </c>
      <c r="M21" s="282">
        <v>-1.37</v>
      </c>
      <c r="N21" s="249"/>
      <c r="O21" s="283"/>
      <c r="P21" s="279"/>
    </row>
    <row r="22" spans="1:16" s="284" customFormat="1">
      <c r="A22" s="279"/>
      <c r="B22" s="249"/>
      <c r="C22" s="249"/>
      <c r="D22" s="249"/>
      <c r="E22" s="249"/>
      <c r="F22" s="249"/>
      <c r="G22" s="1116" t="s">
        <v>486</v>
      </c>
      <c r="H22" s="1117"/>
      <c r="I22" s="1117"/>
      <c r="J22" s="1118"/>
      <c r="K22" s="285">
        <v>94.7</v>
      </c>
      <c r="L22" s="286">
        <v>97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32" t="s">
        <v>489</v>
      </c>
      <c r="H32" s="1133"/>
      <c r="I32" s="1133"/>
      <c r="J32" s="1134"/>
      <c r="K32" s="294">
        <v>1071189</v>
      </c>
      <c r="L32" s="294">
        <v>30255</v>
      </c>
      <c r="M32" s="295">
        <v>64926</v>
      </c>
      <c r="N32" s="296">
        <v>-53.4</v>
      </c>
    </row>
    <row r="33" spans="1:16" ht="13.5" customHeight="1">
      <c r="A33" s="248"/>
      <c r="B33" s="244"/>
      <c r="C33" s="244"/>
      <c r="D33" s="244"/>
      <c r="E33" s="244"/>
      <c r="F33" s="244"/>
      <c r="G33" s="1132" t="s">
        <v>490</v>
      </c>
      <c r="H33" s="1133"/>
      <c r="I33" s="1133"/>
      <c r="J33" s="1134"/>
      <c r="K33" s="294" t="s">
        <v>476</v>
      </c>
      <c r="L33" s="294" t="s">
        <v>476</v>
      </c>
      <c r="M33" s="295" t="s">
        <v>476</v>
      </c>
      <c r="N33" s="296" t="s">
        <v>476</v>
      </c>
    </row>
    <row r="34" spans="1:16" ht="27" customHeight="1">
      <c r="A34" s="248"/>
      <c r="B34" s="244"/>
      <c r="C34" s="244"/>
      <c r="D34" s="244"/>
      <c r="E34" s="244"/>
      <c r="F34" s="244"/>
      <c r="G34" s="1132" t="s">
        <v>491</v>
      </c>
      <c r="H34" s="1133"/>
      <c r="I34" s="1133"/>
      <c r="J34" s="1134"/>
      <c r="K34" s="294" t="s">
        <v>476</v>
      </c>
      <c r="L34" s="294" t="s">
        <v>476</v>
      </c>
      <c r="M34" s="295">
        <v>24</v>
      </c>
      <c r="N34" s="296" t="s">
        <v>476</v>
      </c>
    </row>
    <row r="35" spans="1:16" ht="27" customHeight="1">
      <c r="A35" s="248"/>
      <c r="B35" s="244"/>
      <c r="C35" s="244"/>
      <c r="D35" s="244"/>
      <c r="E35" s="244"/>
      <c r="F35" s="244"/>
      <c r="G35" s="1132" t="s">
        <v>492</v>
      </c>
      <c r="H35" s="1133"/>
      <c r="I35" s="1133"/>
      <c r="J35" s="1134"/>
      <c r="K35" s="294">
        <v>710949</v>
      </c>
      <c r="L35" s="294">
        <v>20080</v>
      </c>
      <c r="M35" s="295">
        <v>18007</v>
      </c>
      <c r="N35" s="296">
        <v>11.5</v>
      </c>
    </row>
    <row r="36" spans="1:16" ht="27" customHeight="1">
      <c r="A36" s="248"/>
      <c r="B36" s="244"/>
      <c r="C36" s="244"/>
      <c r="D36" s="244"/>
      <c r="E36" s="244"/>
      <c r="F36" s="244"/>
      <c r="G36" s="1132" t="s">
        <v>493</v>
      </c>
      <c r="H36" s="1133"/>
      <c r="I36" s="1133"/>
      <c r="J36" s="1134"/>
      <c r="K36" s="294">
        <v>72006</v>
      </c>
      <c r="L36" s="294">
        <v>2034</v>
      </c>
      <c r="M36" s="295">
        <v>3275</v>
      </c>
      <c r="N36" s="296">
        <v>-37.9</v>
      </c>
    </row>
    <row r="37" spans="1:16" ht="13.5" customHeight="1">
      <c r="A37" s="248"/>
      <c r="B37" s="244"/>
      <c r="C37" s="244"/>
      <c r="D37" s="244"/>
      <c r="E37" s="244"/>
      <c r="F37" s="244"/>
      <c r="G37" s="1132" t="s">
        <v>494</v>
      </c>
      <c r="H37" s="1133"/>
      <c r="I37" s="1133"/>
      <c r="J37" s="1134"/>
      <c r="K37" s="294">
        <v>13236</v>
      </c>
      <c r="L37" s="294">
        <v>374</v>
      </c>
      <c r="M37" s="295">
        <v>1233</v>
      </c>
      <c r="N37" s="296">
        <v>-69.7</v>
      </c>
    </row>
    <row r="38" spans="1:16" ht="27" customHeight="1">
      <c r="A38" s="248"/>
      <c r="B38" s="244"/>
      <c r="C38" s="244"/>
      <c r="D38" s="244"/>
      <c r="E38" s="244"/>
      <c r="F38" s="244"/>
      <c r="G38" s="1135" t="s">
        <v>495</v>
      </c>
      <c r="H38" s="1136"/>
      <c r="I38" s="1136"/>
      <c r="J38" s="1137"/>
      <c r="K38" s="297" t="s">
        <v>476</v>
      </c>
      <c r="L38" s="297" t="s">
        <v>476</v>
      </c>
      <c r="M38" s="298">
        <v>9</v>
      </c>
      <c r="N38" s="299" t="s">
        <v>476</v>
      </c>
      <c r="O38" s="293"/>
    </row>
    <row r="39" spans="1:16">
      <c r="A39" s="248"/>
      <c r="B39" s="244"/>
      <c r="C39" s="244"/>
      <c r="D39" s="244"/>
      <c r="E39" s="244"/>
      <c r="F39" s="244"/>
      <c r="G39" s="1135" t="s">
        <v>496</v>
      </c>
      <c r="H39" s="1136"/>
      <c r="I39" s="1136"/>
      <c r="J39" s="1137"/>
      <c r="K39" s="300">
        <v>-27542</v>
      </c>
      <c r="L39" s="300">
        <v>-778</v>
      </c>
      <c r="M39" s="301">
        <v>-4280</v>
      </c>
      <c r="N39" s="302">
        <v>-81.8</v>
      </c>
      <c r="O39" s="293"/>
    </row>
    <row r="40" spans="1:16" ht="27" customHeight="1">
      <c r="A40" s="248"/>
      <c r="B40" s="244"/>
      <c r="C40" s="244"/>
      <c r="D40" s="244"/>
      <c r="E40" s="244"/>
      <c r="F40" s="244"/>
      <c r="G40" s="1132" t="s">
        <v>497</v>
      </c>
      <c r="H40" s="1133"/>
      <c r="I40" s="1133"/>
      <c r="J40" s="1134"/>
      <c r="K40" s="300">
        <v>-1490961</v>
      </c>
      <c r="L40" s="300">
        <v>-42112</v>
      </c>
      <c r="M40" s="301">
        <v>-56807</v>
      </c>
      <c r="N40" s="302">
        <v>-25.9</v>
      </c>
      <c r="O40" s="293"/>
    </row>
    <row r="41" spans="1:16">
      <c r="A41" s="248"/>
      <c r="B41" s="244"/>
      <c r="C41" s="244"/>
      <c r="D41" s="244"/>
      <c r="E41" s="244"/>
      <c r="F41" s="244"/>
      <c r="G41" s="1138" t="s">
        <v>282</v>
      </c>
      <c r="H41" s="1139"/>
      <c r="I41" s="1139"/>
      <c r="J41" s="1140"/>
      <c r="K41" s="294">
        <v>348877</v>
      </c>
      <c r="L41" s="300">
        <v>9854</v>
      </c>
      <c r="M41" s="301">
        <v>26387</v>
      </c>
      <c r="N41" s="302">
        <v>-62.7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7" t="s">
        <v>467</v>
      </c>
      <c r="J49" s="1129" t="s">
        <v>501</v>
      </c>
      <c r="K49" s="1130"/>
      <c r="L49" s="1130"/>
      <c r="M49" s="1130"/>
      <c r="N49" s="1131"/>
    </row>
    <row r="50" spans="1:14">
      <c r="A50" s="248"/>
      <c r="B50" s="244"/>
      <c r="C50" s="244"/>
      <c r="D50" s="244"/>
      <c r="E50" s="244"/>
      <c r="F50" s="244"/>
      <c r="G50" s="312"/>
      <c r="H50" s="313"/>
      <c r="I50" s="1128"/>
      <c r="J50" s="314" t="s">
        <v>502</v>
      </c>
      <c r="K50" s="315" t="s">
        <v>503</v>
      </c>
      <c r="L50" s="316" t="s">
        <v>504</v>
      </c>
      <c r="M50" s="317" t="s">
        <v>505</v>
      </c>
      <c r="N50" s="318" t="s">
        <v>506</v>
      </c>
    </row>
    <row r="51" spans="1:14">
      <c r="A51" s="248"/>
      <c r="B51" s="244"/>
      <c r="C51" s="244"/>
      <c r="D51" s="244"/>
      <c r="E51" s="244"/>
      <c r="F51" s="244"/>
      <c r="G51" s="310" t="s">
        <v>507</v>
      </c>
      <c r="H51" s="311"/>
      <c r="I51" s="319">
        <v>1748468</v>
      </c>
      <c r="J51" s="320">
        <v>49297</v>
      </c>
      <c r="K51" s="321">
        <v>-19.5</v>
      </c>
      <c r="L51" s="322">
        <v>78670</v>
      </c>
      <c r="M51" s="323">
        <v>3.1</v>
      </c>
      <c r="N51" s="324">
        <v>-22.6</v>
      </c>
    </row>
    <row r="52" spans="1:14">
      <c r="A52" s="248"/>
      <c r="B52" s="244"/>
      <c r="C52" s="244"/>
      <c r="D52" s="244"/>
      <c r="E52" s="244"/>
      <c r="F52" s="244"/>
      <c r="G52" s="325"/>
      <c r="H52" s="326" t="s">
        <v>508</v>
      </c>
      <c r="I52" s="327">
        <v>1213721</v>
      </c>
      <c r="J52" s="328">
        <v>34220</v>
      </c>
      <c r="K52" s="329">
        <v>-36.5</v>
      </c>
      <c r="L52" s="330">
        <v>38094</v>
      </c>
      <c r="M52" s="331">
        <v>-7.3</v>
      </c>
      <c r="N52" s="332">
        <v>-29.2</v>
      </c>
    </row>
    <row r="53" spans="1:14">
      <c r="A53" s="248"/>
      <c r="B53" s="244"/>
      <c r="C53" s="244"/>
      <c r="D53" s="244"/>
      <c r="E53" s="244"/>
      <c r="F53" s="244"/>
      <c r="G53" s="310" t="s">
        <v>509</v>
      </c>
      <c r="H53" s="311"/>
      <c r="I53" s="319">
        <v>2361650</v>
      </c>
      <c r="J53" s="320">
        <v>66777</v>
      </c>
      <c r="K53" s="321">
        <v>35.5</v>
      </c>
      <c r="L53" s="322">
        <v>67201</v>
      </c>
      <c r="M53" s="323">
        <v>-14.6</v>
      </c>
      <c r="N53" s="324">
        <v>50.1</v>
      </c>
    </row>
    <row r="54" spans="1:14">
      <c r="A54" s="248"/>
      <c r="B54" s="244"/>
      <c r="C54" s="244"/>
      <c r="D54" s="244"/>
      <c r="E54" s="244"/>
      <c r="F54" s="244"/>
      <c r="G54" s="325"/>
      <c r="H54" s="326" t="s">
        <v>508</v>
      </c>
      <c r="I54" s="327">
        <v>1601753</v>
      </c>
      <c r="J54" s="328">
        <v>45291</v>
      </c>
      <c r="K54" s="329">
        <v>32.4</v>
      </c>
      <c r="L54" s="330">
        <v>35210</v>
      </c>
      <c r="M54" s="331">
        <v>-7.6</v>
      </c>
      <c r="N54" s="332">
        <v>40</v>
      </c>
    </row>
    <row r="55" spans="1:14">
      <c r="A55" s="248"/>
      <c r="B55" s="244"/>
      <c r="C55" s="244"/>
      <c r="D55" s="244"/>
      <c r="E55" s="244"/>
      <c r="F55" s="244"/>
      <c r="G55" s="310" t="s">
        <v>510</v>
      </c>
      <c r="H55" s="311"/>
      <c r="I55" s="319">
        <v>3217325</v>
      </c>
      <c r="J55" s="320">
        <v>89965</v>
      </c>
      <c r="K55" s="321">
        <v>34.700000000000003</v>
      </c>
      <c r="L55" s="322">
        <v>75709</v>
      </c>
      <c r="M55" s="323">
        <v>12.7</v>
      </c>
      <c r="N55" s="324">
        <v>22</v>
      </c>
    </row>
    <row r="56" spans="1:14">
      <c r="A56" s="248"/>
      <c r="B56" s="244"/>
      <c r="C56" s="244"/>
      <c r="D56" s="244"/>
      <c r="E56" s="244"/>
      <c r="F56" s="244"/>
      <c r="G56" s="325"/>
      <c r="H56" s="326" t="s">
        <v>508</v>
      </c>
      <c r="I56" s="327">
        <v>2632131</v>
      </c>
      <c r="J56" s="328">
        <v>73601</v>
      </c>
      <c r="K56" s="329">
        <v>62.5</v>
      </c>
      <c r="L56" s="330">
        <v>35212</v>
      </c>
      <c r="M56" s="331">
        <v>0</v>
      </c>
      <c r="N56" s="332">
        <v>62.5</v>
      </c>
    </row>
    <row r="57" spans="1:14">
      <c r="A57" s="248"/>
      <c r="B57" s="244"/>
      <c r="C57" s="244"/>
      <c r="D57" s="244"/>
      <c r="E57" s="244"/>
      <c r="F57" s="244"/>
      <c r="G57" s="310" t="s">
        <v>511</v>
      </c>
      <c r="H57" s="311"/>
      <c r="I57" s="319">
        <v>3585779</v>
      </c>
      <c r="J57" s="320">
        <v>100772</v>
      </c>
      <c r="K57" s="321">
        <v>12</v>
      </c>
      <c r="L57" s="322">
        <v>90961</v>
      </c>
      <c r="M57" s="323">
        <v>20.100000000000001</v>
      </c>
      <c r="N57" s="324">
        <v>-8.1</v>
      </c>
    </row>
    <row r="58" spans="1:14">
      <c r="A58" s="248"/>
      <c r="B58" s="244"/>
      <c r="C58" s="244"/>
      <c r="D58" s="244"/>
      <c r="E58" s="244"/>
      <c r="F58" s="244"/>
      <c r="G58" s="325"/>
      <c r="H58" s="326" t="s">
        <v>508</v>
      </c>
      <c r="I58" s="327">
        <v>2497978</v>
      </c>
      <c r="J58" s="328">
        <v>70201</v>
      </c>
      <c r="K58" s="329">
        <v>-4.5999999999999996</v>
      </c>
      <c r="L58" s="330">
        <v>37720</v>
      </c>
      <c r="M58" s="331">
        <v>7.1</v>
      </c>
      <c r="N58" s="332">
        <v>-11.7</v>
      </c>
    </row>
    <row r="59" spans="1:14">
      <c r="A59" s="248"/>
      <c r="B59" s="244"/>
      <c r="C59" s="244"/>
      <c r="D59" s="244"/>
      <c r="E59" s="244"/>
      <c r="F59" s="244"/>
      <c r="G59" s="310" t="s">
        <v>512</v>
      </c>
      <c r="H59" s="311"/>
      <c r="I59" s="319">
        <v>3407263</v>
      </c>
      <c r="J59" s="320">
        <v>96237</v>
      </c>
      <c r="K59" s="321">
        <v>-4.5</v>
      </c>
      <c r="L59" s="322">
        <v>106614</v>
      </c>
      <c r="M59" s="323">
        <v>17.2</v>
      </c>
      <c r="N59" s="324">
        <v>-21.7</v>
      </c>
    </row>
    <row r="60" spans="1:14">
      <c r="A60" s="248"/>
      <c r="B60" s="244"/>
      <c r="C60" s="244"/>
      <c r="D60" s="244"/>
      <c r="E60" s="244"/>
      <c r="F60" s="244"/>
      <c r="G60" s="325"/>
      <c r="H60" s="326" t="s">
        <v>508</v>
      </c>
      <c r="I60" s="333">
        <v>2009520</v>
      </c>
      <c r="J60" s="328">
        <v>56758</v>
      </c>
      <c r="K60" s="329">
        <v>-19.100000000000001</v>
      </c>
      <c r="L60" s="330">
        <v>45545</v>
      </c>
      <c r="M60" s="331">
        <v>20.7</v>
      </c>
      <c r="N60" s="332">
        <v>-39.799999999999997</v>
      </c>
    </row>
    <row r="61" spans="1:14">
      <c r="A61" s="248"/>
      <c r="B61" s="244"/>
      <c r="C61" s="244"/>
      <c r="D61" s="244"/>
      <c r="E61" s="244"/>
      <c r="F61" s="244"/>
      <c r="G61" s="310" t="s">
        <v>513</v>
      </c>
      <c r="H61" s="334"/>
      <c r="I61" s="335">
        <v>2864097</v>
      </c>
      <c r="J61" s="336">
        <v>80610</v>
      </c>
      <c r="K61" s="337">
        <v>11.6</v>
      </c>
      <c r="L61" s="338">
        <v>83831</v>
      </c>
      <c r="M61" s="339">
        <v>7.7</v>
      </c>
      <c r="N61" s="324">
        <v>3.9</v>
      </c>
    </row>
    <row r="62" spans="1:14">
      <c r="A62" s="248"/>
      <c r="B62" s="244"/>
      <c r="C62" s="244"/>
      <c r="D62" s="244"/>
      <c r="E62" s="244"/>
      <c r="F62" s="244"/>
      <c r="G62" s="325"/>
      <c r="H62" s="326" t="s">
        <v>508</v>
      </c>
      <c r="I62" s="327">
        <v>1991021</v>
      </c>
      <c r="J62" s="328">
        <v>56014</v>
      </c>
      <c r="K62" s="329">
        <v>6.9</v>
      </c>
      <c r="L62" s="330">
        <v>38356</v>
      </c>
      <c r="M62" s="331">
        <v>2.6</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1" t="s">
        <v>3</v>
      </c>
      <c r="D47" s="1141"/>
      <c r="E47" s="1142"/>
      <c r="F47" s="11">
        <v>50.31</v>
      </c>
      <c r="G47" s="12">
        <v>49.57</v>
      </c>
      <c r="H47" s="12">
        <v>48.73</v>
      </c>
      <c r="I47" s="12">
        <v>48.15</v>
      </c>
      <c r="J47" s="13">
        <v>45.32</v>
      </c>
    </row>
    <row r="48" spans="2:10" ht="57.75" customHeight="1">
      <c r="B48" s="14"/>
      <c r="C48" s="1143" t="s">
        <v>4</v>
      </c>
      <c r="D48" s="1143"/>
      <c r="E48" s="1144"/>
      <c r="F48" s="15">
        <v>7.7</v>
      </c>
      <c r="G48" s="16">
        <v>8.75</v>
      </c>
      <c r="H48" s="16">
        <v>5.81</v>
      </c>
      <c r="I48" s="16">
        <v>4.87</v>
      </c>
      <c r="J48" s="17">
        <v>7.68</v>
      </c>
    </row>
    <row r="49" spans="2:10" ht="57.75" customHeight="1" thickBot="1">
      <c r="B49" s="18"/>
      <c r="C49" s="1145" t="s">
        <v>5</v>
      </c>
      <c r="D49" s="1145"/>
      <c r="E49" s="1146"/>
      <c r="F49" s="19">
        <v>9.09</v>
      </c>
      <c r="G49" s="20">
        <v>0.95</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3" t="s">
        <v>523</v>
      </c>
      <c r="D34" s="1153"/>
      <c r="E34" s="1154"/>
      <c r="F34" s="32">
        <v>7.69</v>
      </c>
      <c r="G34" s="33">
        <v>8.74</v>
      </c>
      <c r="H34" s="33">
        <v>5.8</v>
      </c>
      <c r="I34" s="33">
        <v>4.8600000000000003</v>
      </c>
      <c r="J34" s="34">
        <v>7.67</v>
      </c>
      <c r="K34" s="22"/>
      <c r="L34" s="22"/>
      <c r="M34" s="22"/>
      <c r="N34" s="22"/>
      <c r="O34" s="22"/>
      <c r="P34" s="22"/>
    </row>
    <row r="35" spans="1:16" ht="39" customHeight="1">
      <c r="A35" s="22"/>
      <c r="B35" s="35"/>
      <c r="C35" s="1147" t="s">
        <v>524</v>
      </c>
      <c r="D35" s="1148"/>
      <c r="E35" s="1149"/>
      <c r="F35" s="36">
        <v>4.5</v>
      </c>
      <c r="G35" s="37">
        <v>4.63</v>
      </c>
      <c r="H35" s="37">
        <v>4.91</v>
      </c>
      <c r="I35" s="37">
        <v>5.5</v>
      </c>
      <c r="J35" s="38">
        <v>6.3</v>
      </c>
      <c r="K35" s="22"/>
      <c r="L35" s="22"/>
      <c r="M35" s="22"/>
      <c r="N35" s="22"/>
      <c r="O35" s="22"/>
      <c r="P35" s="22"/>
    </row>
    <row r="36" spans="1:16" ht="39" customHeight="1">
      <c r="A36" s="22"/>
      <c r="B36" s="35"/>
      <c r="C36" s="1147" t="s">
        <v>525</v>
      </c>
      <c r="D36" s="1148"/>
      <c r="E36" s="1149"/>
      <c r="F36" s="36">
        <v>3.24</v>
      </c>
      <c r="G36" s="37">
        <v>3.85</v>
      </c>
      <c r="H36" s="37">
        <v>3.54</v>
      </c>
      <c r="I36" s="37">
        <v>2.36</v>
      </c>
      <c r="J36" s="38">
        <v>1.76</v>
      </c>
      <c r="K36" s="22"/>
      <c r="L36" s="22"/>
      <c r="M36" s="22"/>
      <c r="N36" s="22"/>
      <c r="O36" s="22"/>
      <c r="P36" s="22"/>
    </row>
    <row r="37" spans="1:16" ht="39" customHeight="1">
      <c r="A37" s="22"/>
      <c r="B37" s="35"/>
      <c r="C37" s="1147" t="s">
        <v>526</v>
      </c>
      <c r="D37" s="1148"/>
      <c r="E37" s="1149"/>
      <c r="F37" s="36">
        <v>0.09</v>
      </c>
      <c r="G37" s="37">
        <v>0.13</v>
      </c>
      <c r="H37" s="37">
        <v>0.12</v>
      </c>
      <c r="I37" s="37">
        <v>0.14000000000000001</v>
      </c>
      <c r="J37" s="38">
        <v>0.16</v>
      </c>
      <c r="K37" s="22"/>
      <c r="L37" s="22"/>
      <c r="M37" s="22"/>
      <c r="N37" s="22"/>
      <c r="O37" s="22"/>
      <c r="P37" s="22"/>
    </row>
    <row r="38" spans="1:16" ht="39" customHeight="1">
      <c r="A38" s="22"/>
      <c r="B38" s="35"/>
      <c r="C38" s="1147" t="s">
        <v>527</v>
      </c>
      <c r="D38" s="1148"/>
      <c r="E38" s="1149"/>
      <c r="F38" s="36">
        <v>0.45</v>
      </c>
      <c r="G38" s="37">
        <v>0.63</v>
      </c>
      <c r="H38" s="37">
        <v>0.2</v>
      </c>
      <c r="I38" s="37">
        <v>0.12</v>
      </c>
      <c r="J38" s="38">
        <v>0.14000000000000001</v>
      </c>
      <c r="K38" s="22"/>
      <c r="L38" s="22"/>
      <c r="M38" s="22"/>
      <c r="N38" s="22"/>
      <c r="O38" s="22"/>
      <c r="P38" s="22"/>
    </row>
    <row r="39" spans="1:16" ht="39" customHeight="1">
      <c r="A39" s="22"/>
      <c r="B39" s="35"/>
      <c r="C39" s="1147" t="s">
        <v>528</v>
      </c>
      <c r="D39" s="1148"/>
      <c r="E39" s="1149"/>
      <c r="F39" s="36">
        <v>0.15</v>
      </c>
      <c r="G39" s="37">
        <v>0.15</v>
      </c>
      <c r="H39" s="37">
        <v>0.3</v>
      </c>
      <c r="I39" s="37">
        <v>0.18</v>
      </c>
      <c r="J39" s="38">
        <v>0.13</v>
      </c>
      <c r="K39" s="22"/>
      <c r="L39" s="22"/>
      <c r="M39" s="22"/>
      <c r="N39" s="22"/>
      <c r="O39" s="22"/>
      <c r="P39" s="22"/>
    </row>
    <row r="40" spans="1:16" ht="39" customHeight="1">
      <c r="A40" s="22"/>
      <c r="B40" s="35"/>
      <c r="C40" s="1147" t="s">
        <v>529</v>
      </c>
      <c r="D40" s="1148"/>
      <c r="E40" s="1149"/>
      <c r="F40" s="36">
        <v>0.51</v>
      </c>
      <c r="G40" s="37">
        <v>0.21</v>
      </c>
      <c r="H40" s="37">
        <v>0.16</v>
      </c>
      <c r="I40" s="37">
        <v>0.27</v>
      </c>
      <c r="J40" s="38">
        <v>0.1</v>
      </c>
      <c r="K40" s="22"/>
      <c r="L40" s="22"/>
      <c r="M40" s="22"/>
      <c r="N40" s="22"/>
      <c r="O40" s="22"/>
      <c r="P40" s="22"/>
    </row>
    <row r="41" spans="1:16" ht="39" customHeight="1">
      <c r="A41" s="22"/>
      <c r="B41" s="35"/>
      <c r="C41" s="1147" t="s">
        <v>530</v>
      </c>
      <c r="D41" s="1148"/>
      <c r="E41" s="1149"/>
      <c r="F41" s="36">
        <v>0.03</v>
      </c>
      <c r="G41" s="37">
        <v>0.04</v>
      </c>
      <c r="H41" s="37">
        <v>0.03</v>
      </c>
      <c r="I41" s="37">
        <v>0.03</v>
      </c>
      <c r="J41" s="38">
        <v>0.02</v>
      </c>
      <c r="K41" s="22"/>
      <c r="L41" s="22"/>
      <c r="M41" s="22"/>
      <c r="N41" s="22"/>
      <c r="O41" s="22"/>
      <c r="P41" s="22"/>
    </row>
    <row r="42" spans="1:16" ht="39" customHeight="1">
      <c r="A42" s="22"/>
      <c r="B42" s="39"/>
      <c r="C42" s="1147" t="s">
        <v>531</v>
      </c>
      <c r="D42" s="1148"/>
      <c r="E42" s="1149"/>
      <c r="F42" s="36" t="s">
        <v>476</v>
      </c>
      <c r="G42" s="37" t="s">
        <v>476</v>
      </c>
      <c r="H42" s="37" t="s">
        <v>476</v>
      </c>
      <c r="I42" s="37" t="s">
        <v>476</v>
      </c>
      <c r="J42" s="38" t="s">
        <v>476</v>
      </c>
      <c r="K42" s="22"/>
      <c r="L42" s="22"/>
      <c r="M42" s="22"/>
      <c r="N42" s="22"/>
      <c r="O42" s="22"/>
      <c r="P42" s="22"/>
    </row>
    <row r="43" spans="1:16" ht="39" customHeight="1" thickBot="1">
      <c r="A43" s="22"/>
      <c r="B43" s="40"/>
      <c r="C43" s="1150" t="s">
        <v>532</v>
      </c>
      <c r="D43" s="1151"/>
      <c r="E43" s="1152"/>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3" t="s">
        <v>11</v>
      </c>
      <c r="C45" s="1164"/>
      <c r="D45" s="58"/>
      <c r="E45" s="1169" t="s">
        <v>12</v>
      </c>
      <c r="F45" s="1169"/>
      <c r="G45" s="1169"/>
      <c r="H45" s="1169"/>
      <c r="I45" s="1169"/>
      <c r="J45" s="1170"/>
      <c r="K45" s="59">
        <v>1075</v>
      </c>
      <c r="L45" s="60">
        <v>1082</v>
      </c>
      <c r="M45" s="60">
        <v>1070</v>
      </c>
      <c r="N45" s="60">
        <v>1048</v>
      </c>
      <c r="O45" s="61">
        <v>1071</v>
      </c>
      <c r="P45" s="48"/>
      <c r="Q45" s="48"/>
      <c r="R45" s="48"/>
      <c r="S45" s="48"/>
      <c r="T45" s="48"/>
      <c r="U45" s="48"/>
    </row>
    <row r="46" spans="1:21" ht="30.75" customHeight="1">
      <c r="A46" s="48"/>
      <c r="B46" s="1165"/>
      <c r="C46" s="1166"/>
      <c r="D46" s="62"/>
      <c r="E46" s="1157" t="s">
        <v>13</v>
      </c>
      <c r="F46" s="1157"/>
      <c r="G46" s="1157"/>
      <c r="H46" s="1157"/>
      <c r="I46" s="1157"/>
      <c r="J46" s="1158"/>
      <c r="K46" s="63" t="s">
        <v>476</v>
      </c>
      <c r="L46" s="64" t="s">
        <v>476</v>
      </c>
      <c r="M46" s="64" t="s">
        <v>476</v>
      </c>
      <c r="N46" s="64" t="s">
        <v>476</v>
      </c>
      <c r="O46" s="65" t="s">
        <v>476</v>
      </c>
      <c r="P46" s="48"/>
      <c r="Q46" s="48"/>
      <c r="R46" s="48"/>
      <c r="S46" s="48"/>
      <c r="T46" s="48"/>
      <c r="U46" s="48"/>
    </row>
    <row r="47" spans="1:21" ht="30.75" customHeight="1">
      <c r="A47" s="48"/>
      <c r="B47" s="1165"/>
      <c r="C47" s="1166"/>
      <c r="D47" s="62"/>
      <c r="E47" s="1157" t="s">
        <v>14</v>
      </c>
      <c r="F47" s="1157"/>
      <c r="G47" s="1157"/>
      <c r="H47" s="1157"/>
      <c r="I47" s="1157"/>
      <c r="J47" s="1158"/>
      <c r="K47" s="63" t="s">
        <v>476</v>
      </c>
      <c r="L47" s="64" t="s">
        <v>476</v>
      </c>
      <c r="M47" s="64" t="s">
        <v>476</v>
      </c>
      <c r="N47" s="64" t="s">
        <v>476</v>
      </c>
      <c r="O47" s="65" t="s">
        <v>476</v>
      </c>
      <c r="P47" s="48"/>
      <c r="Q47" s="48"/>
      <c r="R47" s="48"/>
      <c r="S47" s="48"/>
      <c r="T47" s="48"/>
      <c r="U47" s="48"/>
    </row>
    <row r="48" spans="1:21" ht="30.75" customHeight="1">
      <c r="A48" s="48"/>
      <c r="B48" s="1165"/>
      <c r="C48" s="1166"/>
      <c r="D48" s="62"/>
      <c r="E48" s="1157" t="s">
        <v>15</v>
      </c>
      <c r="F48" s="1157"/>
      <c r="G48" s="1157"/>
      <c r="H48" s="1157"/>
      <c r="I48" s="1157"/>
      <c r="J48" s="1158"/>
      <c r="K48" s="63">
        <v>557</v>
      </c>
      <c r="L48" s="64">
        <v>568</v>
      </c>
      <c r="M48" s="64">
        <v>628</v>
      </c>
      <c r="N48" s="64">
        <v>703</v>
      </c>
      <c r="O48" s="65">
        <v>711</v>
      </c>
      <c r="P48" s="48"/>
      <c r="Q48" s="48"/>
      <c r="R48" s="48"/>
      <c r="S48" s="48"/>
      <c r="T48" s="48"/>
      <c r="U48" s="48"/>
    </row>
    <row r="49" spans="1:21" ht="30.75" customHeight="1">
      <c r="A49" s="48"/>
      <c r="B49" s="1165"/>
      <c r="C49" s="1166"/>
      <c r="D49" s="62"/>
      <c r="E49" s="1157" t="s">
        <v>16</v>
      </c>
      <c r="F49" s="1157"/>
      <c r="G49" s="1157"/>
      <c r="H49" s="1157"/>
      <c r="I49" s="1157"/>
      <c r="J49" s="1158"/>
      <c r="K49" s="63">
        <v>99</v>
      </c>
      <c r="L49" s="64">
        <v>85</v>
      </c>
      <c r="M49" s="64">
        <v>66</v>
      </c>
      <c r="N49" s="64">
        <v>64</v>
      </c>
      <c r="O49" s="65">
        <v>72</v>
      </c>
      <c r="P49" s="48"/>
      <c r="Q49" s="48"/>
      <c r="R49" s="48"/>
      <c r="S49" s="48"/>
      <c r="T49" s="48"/>
      <c r="U49" s="48"/>
    </row>
    <row r="50" spans="1:21" ht="30.75" customHeight="1">
      <c r="A50" s="48"/>
      <c r="B50" s="1165"/>
      <c r="C50" s="1166"/>
      <c r="D50" s="62"/>
      <c r="E50" s="1157" t="s">
        <v>17</v>
      </c>
      <c r="F50" s="1157"/>
      <c r="G50" s="1157"/>
      <c r="H50" s="1157"/>
      <c r="I50" s="1157"/>
      <c r="J50" s="1158"/>
      <c r="K50" s="63">
        <v>13</v>
      </c>
      <c r="L50" s="64">
        <v>13</v>
      </c>
      <c r="M50" s="64">
        <v>13</v>
      </c>
      <c r="N50" s="64">
        <v>13</v>
      </c>
      <c r="O50" s="65">
        <v>13</v>
      </c>
      <c r="P50" s="48"/>
      <c r="Q50" s="48"/>
      <c r="R50" s="48"/>
      <c r="S50" s="48"/>
      <c r="T50" s="48"/>
      <c r="U50" s="48"/>
    </row>
    <row r="51" spans="1:21" ht="30.75" customHeight="1">
      <c r="A51" s="48"/>
      <c r="B51" s="1167"/>
      <c r="C51" s="1168"/>
      <c r="D51" s="66"/>
      <c r="E51" s="1157" t="s">
        <v>18</v>
      </c>
      <c r="F51" s="1157"/>
      <c r="G51" s="1157"/>
      <c r="H51" s="1157"/>
      <c r="I51" s="1157"/>
      <c r="J51" s="1158"/>
      <c r="K51" s="63" t="s">
        <v>476</v>
      </c>
      <c r="L51" s="64" t="s">
        <v>476</v>
      </c>
      <c r="M51" s="64" t="s">
        <v>476</v>
      </c>
      <c r="N51" s="64" t="s">
        <v>476</v>
      </c>
      <c r="O51" s="65" t="s">
        <v>476</v>
      </c>
      <c r="P51" s="48"/>
      <c r="Q51" s="48"/>
      <c r="R51" s="48"/>
      <c r="S51" s="48"/>
      <c r="T51" s="48"/>
      <c r="U51" s="48"/>
    </row>
    <row r="52" spans="1:21" ht="30.75" customHeight="1">
      <c r="A52" s="48"/>
      <c r="B52" s="1155" t="s">
        <v>19</v>
      </c>
      <c r="C52" s="1156"/>
      <c r="D52" s="66"/>
      <c r="E52" s="1157" t="s">
        <v>20</v>
      </c>
      <c r="F52" s="1157"/>
      <c r="G52" s="1157"/>
      <c r="H52" s="1157"/>
      <c r="I52" s="1157"/>
      <c r="J52" s="1158"/>
      <c r="K52" s="63">
        <v>1254</v>
      </c>
      <c r="L52" s="64">
        <v>1347</v>
      </c>
      <c r="M52" s="64">
        <v>1372</v>
      </c>
      <c r="N52" s="64">
        <v>1419</v>
      </c>
      <c r="O52" s="65">
        <v>1518</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490</v>
      </c>
      <c r="L53" s="69">
        <v>401</v>
      </c>
      <c r="M53" s="69">
        <v>405</v>
      </c>
      <c r="N53" s="69">
        <v>409</v>
      </c>
      <c r="O53" s="70">
        <v>349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1" t="s">
        <v>24</v>
      </c>
      <c r="C41" s="1172"/>
      <c r="D41" s="81"/>
      <c r="E41" s="1177" t="s">
        <v>25</v>
      </c>
      <c r="F41" s="1177"/>
      <c r="G41" s="1177"/>
      <c r="H41" s="1178"/>
      <c r="I41" s="82">
        <v>13470</v>
      </c>
      <c r="J41" s="83">
        <v>13811</v>
      </c>
      <c r="K41" s="83">
        <v>14868</v>
      </c>
      <c r="L41" s="83">
        <v>15747</v>
      </c>
      <c r="M41" s="84">
        <v>16025</v>
      </c>
    </row>
    <row r="42" spans="2:13" ht="27.75" customHeight="1">
      <c r="B42" s="1173"/>
      <c r="C42" s="1174"/>
      <c r="D42" s="85"/>
      <c r="E42" s="1179" t="s">
        <v>26</v>
      </c>
      <c r="F42" s="1179"/>
      <c r="G42" s="1179"/>
      <c r="H42" s="1180"/>
      <c r="I42" s="86">
        <v>912</v>
      </c>
      <c r="J42" s="87">
        <v>956</v>
      </c>
      <c r="K42" s="87">
        <v>944</v>
      </c>
      <c r="L42" s="87">
        <v>937</v>
      </c>
      <c r="M42" s="88">
        <v>748</v>
      </c>
    </row>
    <row r="43" spans="2:13" ht="27.75" customHeight="1">
      <c r="B43" s="1173"/>
      <c r="C43" s="1174"/>
      <c r="D43" s="85"/>
      <c r="E43" s="1179" t="s">
        <v>27</v>
      </c>
      <c r="F43" s="1179"/>
      <c r="G43" s="1179"/>
      <c r="H43" s="1180"/>
      <c r="I43" s="86">
        <v>11231</v>
      </c>
      <c r="J43" s="87">
        <v>10934</v>
      </c>
      <c r="K43" s="87">
        <v>10769</v>
      </c>
      <c r="L43" s="87">
        <v>10698</v>
      </c>
      <c r="M43" s="88">
        <v>10878</v>
      </c>
    </row>
    <row r="44" spans="2:13" ht="27.75" customHeight="1">
      <c r="B44" s="1173"/>
      <c r="C44" s="1174"/>
      <c r="D44" s="85"/>
      <c r="E44" s="1179" t="s">
        <v>28</v>
      </c>
      <c r="F44" s="1179"/>
      <c r="G44" s="1179"/>
      <c r="H44" s="1180"/>
      <c r="I44" s="86">
        <v>525</v>
      </c>
      <c r="J44" s="87">
        <v>442</v>
      </c>
      <c r="K44" s="87">
        <v>491</v>
      </c>
      <c r="L44" s="87">
        <v>424</v>
      </c>
      <c r="M44" s="88">
        <v>373</v>
      </c>
    </row>
    <row r="45" spans="2:13" ht="27.75" customHeight="1">
      <c r="B45" s="1173"/>
      <c r="C45" s="1174"/>
      <c r="D45" s="85"/>
      <c r="E45" s="1179" t="s">
        <v>29</v>
      </c>
      <c r="F45" s="1179"/>
      <c r="G45" s="1179"/>
      <c r="H45" s="1180"/>
      <c r="I45" s="86">
        <v>2122</v>
      </c>
      <c r="J45" s="87">
        <v>2193</v>
      </c>
      <c r="K45" s="87">
        <v>2240</v>
      </c>
      <c r="L45" s="87">
        <v>2299</v>
      </c>
      <c r="M45" s="88">
        <v>2136</v>
      </c>
    </row>
    <row r="46" spans="2:13" ht="27.75" customHeight="1">
      <c r="B46" s="1173"/>
      <c r="C46" s="1174"/>
      <c r="D46" s="85"/>
      <c r="E46" s="1179" t="s">
        <v>30</v>
      </c>
      <c r="F46" s="1179"/>
      <c r="G46" s="1179"/>
      <c r="H46" s="1180"/>
      <c r="I46" s="86" t="s">
        <v>476</v>
      </c>
      <c r="J46" s="87" t="s">
        <v>476</v>
      </c>
      <c r="K46" s="87" t="s">
        <v>476</v>
      </c>
      <c r="L46" s="87" t="s">
        <v>476</v>
      </c>
      <c r="M46" s="88" t="s">
        <v>476</v>
      </c>
    </row>
    <row r="47" spans="2:13" ht="27.75" customHeight="1">
      <c r="B47" s="1173"/>
      <c r="C47" s="1174"/>
      <c r="D47" s="85"/>
      <c r="E47" s="1179" t="s">
        <v>31</v>
      </c>
      <c r="F47" s="1179"/>
      <c r="G47" s="1179"/>
      <c r="H47" s="1180"/>
      <c r="I47" s="86" t="s">
        <v>476</v>
      </c>
      <c r="J47" s="87" t="s">
        <v>476</v>
      </c>
      <c r="K47" s="87" t="s">
        <v>476</v>
      </c>
      <c r="L47" s="87" t="s">
        <v>476</v>
      </c>
      <c r="M47" s="88" t="s">
        <v>476</v>
      </c>
    </row>
    <row r="48" spans="2:13" ht="27.75" customHeight="1">
      <c r="B48" s="1175"/>
      <c r="C48" s="1176"/>
      <c r="D48" s="85"/>
      <c r="E48" s="1179" t="s">
        <v>32</v>
      </c>
      <c r="F48" s="1179"/>
      <c r="G48" s="1179"/>
      <c r="H48" s="1180"/>
      <c r="I48" s="86" t="s">
        <v>476</v>
      </c>
      <c r="J48" s="87" t="s">
        <v>476</v>
      </c>
      <c r="K48" s="87" t="s">
        <v>476</v>
      </c>
      <c r="L48" s="87" t="s">
        <v>476</v>
      </c>
      <c r="M48" s="88" t="s">
        <v>476</v>
      </c>
    </row>
    <row r="49" spans="2:13" ht="27.75" customHeight="1">
      <c r="B49" s="1181" t="s">
        <v>33</v>
      </c>
      <c r="C49" s="1182"/>
      <c r="D49" s="89"/>
      <c r="E49" s="1179" t="s">
        <v>34</v>
      </c>
      <c r="F49" s="1179"/>
      <c r="G49" s="1179"/>
      <c r="H49" s="1180"/>
      <c r="I49" s="86">
        <v>9701</v>
      </c>
      <c r="J49" s="87">
        <v>10139</v>
      </c>
      <c r="K49" s="87">
        <v>10504</v>
      </c>
      <c r="L49" s="87">
        <v>10281</v>
      </c>
      <c r="M49" s="88">
        <v>9517</v>
      </c>
    </row>
    <row r="50" spans="2:13" ht="27.75" customHeight="1">
      <c r="B50" s="1173"/>
      <c r="C50" s="1174"/>
      <c r="D50" s="85"/>
      <c r="E50" s="1179" t="s">
        <v>35</v>
      </c>
      <c r="F50" s="1179"/>
      <c r="G50" s="1179"/>
      <c r="H50" s="1180"/>
      <c r="I50" s="86">
        <v>108</v>
      </c>
      <c r="J50" s="87">
        <v>114</v>
      </c>
      <c r="K50" s="87">
        <v>135</v>
      </c>
      <c r="L50" s="87">
        <v>113</v>
      </c>
      <c r="M50" s="88">
        <v>95</v>
      </c>
    </row>
    <row r="51" spans="2:13" ht="27.75" customHeight="1">
      <c r="B51" s="1175"/>
      <c r="C51" s="1176"/>
      <c r="D51" s="85"/>
      <c r="E51" s="1179" t="s">
        <v>36</v>
      </c>
      <c r="F51" s="1179"/>
      <c r="G51" s="1179"/>
      <c r="H51" s="1180"/>
      <c r="I51" s="86">
        <v>17055</v>
      </c>
      <c r="J51" s="87">
        <v>17417</v>
      </c>
      <c r="K51" s="87">
        <v>18377</v>
      </c>
      <c r="L51" s="87">
        <v>18728</v>
      </c>
      <c r="M51" s="88">
        <v>18592</v>
      </c>
    </row>
    <row r="52" spans="2:13" ht="27.75" customHeight="1" thickBot="1">
      <c r="B52" s="1183" t="s">
        <v>37</v>
      </c>
      <c r="C52" s="1184"/>
      <c r="D52" s="90"/>
      <c r="E52" s="1185" t="s">
        <v>38</v>
      </c>
      <c r="F52" s="1185"/>
      <c r="G52" s="1185"/>
      <c r="H52" s="1186"/>
      <c r="I52" s="91">
        <v>1395</v>
      </c>
      <c r="J52" s="92">
        <v>665</v>
      </c>
      <c r="K52" s="92">
        <v>296</v>
      </c>
      <c r="L52" s="92">
        <v>982</v>
      </c>
      <c r="M52" s="93">
        <v>1956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49297</v>
      </c>
      <c r="E3" s="116"/>
      <c r="F3" s="117">
        <v>78670</v>
      </c>
      <c r="G3" s="118"/>
      <c r="H3" s="119"/>
    </row>
    <row r="4" spans="1:8">
      <c r="A4" s="120"/>
      <c r="B4" s="121"/>
      <c r="C4" s="122"/>
      <c r="D4" s="123">
        <v>34220</v>
      </c>
      <c r="E4" s="124"/>
      <c r="F4" s="125">
        <v>38094</v>
      </c>
      <c r="G4" s="126"/>
      <c r="H4" s="127"/>
    </row>
    <row r="5" spans="1:8">
      <c r="A5" s="108" t="s">
        <v>509</v>
      </c>
      <c r="B5" s="113"/>
      <c r="C5" s="114"/>
      <c r="D5" s="115">
        <v>66777</v>
      </c>
      <c r="E5" s="116"/>
      <c r="F5" s="117">
        <v>67201</v>
      </c>
      <c r="G5" s="118"/>
      <c r="H5" s="119"/>
    </row>
    <row r="6" spans="1:8">
      <c r="A6" s="120"/>
      <c r="B6" s="121"/>
      <c r="C6" s="122"/>
      <c r="D6" s="123">
        <v>45291</v>
      </c>
      <c r="E6" s="124"/>
      <c r="F6" s="125">
        <v>35210</v>
      </c>
      <c r="G6" s="126"/>
      <c r="H6" s="127"/>
    </row>
    <row r="7" spans="1:8">
      <c r="A7" s="108" t="s">
        <v>510</v>
      </c>
      <c r="B7" s="113"/>
      <c r="C7" s="114"/>
      <c r="D7" s="115">
        <v>89965</v>
      </c>
      <c r="E7" s="116"/>
      <c r="F7" s="117">
        <v>75709</v>
      </c>
      <c r="G7" s="118"/>
      <c r="H7" s="119"/>
    </row>
    <row r="8" spans="1:8">
      <c r="A8" s="120"/>
      <c r="B8" s="121"/>
      <c r="C8" s="122"/>
      <c r="D8" s="123">
        <v>73601</v>
      </c>
      <c r="E8" s="124"/>
      <c r="F8" s="125">
        <v>35212</v>
      </c>
      <c r="G8" s="126"/>
      <c r="H8" s="127"/>
    </row>
    <row r="9" spans="1:8">
      <c r="A9" s="108" t="s">
        <v>511</v>
      </c>
      <c r="B9" s="113"/>
      <c r="C9" s="114"/>
      <c r="D9" s="115">
        <v>100772</v>
      </c>
      <c r="E9" s="116"/>
      <c r="F9" s="117">
        <v>90961</v>
      </c>
      <c r="G9" s="118"/>
      <c r="H9" s="119"/>
    </row>
    <row r="10" spans="1:8">
      <c r="A10" s="120"/>
      <c r="B10" s="121"/>
      <c r="C10" s="122"/>
      <c r="D10" s="123">
        <v>70201</v>
      </c>
      <c r="E10" s="124"/>
      <c r="F10" s="125">
        <v>37720</v>
      </c>
      <c r="G10" s="126"/>
      <c r="H10" s="127"/>
    </row>
    <row r="11" spans="1:8">
      <c r="A11" s="108" t="s">
        <v>512</v>
      </c>
      <c r="B11" s="113"/>
      <c r="C11" s="114"/>
      <c r="D11" s="115">
        <v>96237</v>
      </c>
      <c r="E11" s="116"/>
      <c r="F11" s="117">
        <v>106614</v>
      </c>
      <c r="G11" s="118"/>
      <c r="H11" s="119"/>
    </row>
    <row r="12" spans="1:8">
      <c r="A12" s="120"/>
      <c r="B12" s="121"/>
      <c r="C12" s="128"/>
      <c r="D12" s="123">
        <v>56758</v>
      </c>
      <c r="E12" s="124"/>
      <c r="F12" s="125">
        <v>45545</v>
      </c>
      <c r="G12" s="126"/>
      <c r="H12" s="127"/>
    </row>
    <row r="13" spans="1:8">
      <c r="A13" s="108"/>
      <c r="B13" s="113"/>
      <c r="C13" s="129"/>
      <c r="D13" s="130">
        <v>80610</v>
      </c>
      <c r="E13" s="131"/>
      <c r="F13" s="132">
        <v>83831</v>
      </c>
      <c r="G13" s="133"/>
      <c r="H13" s="119"/>
    </row>
    <row r="14" spans="1:8">
      <c r="A14" s="120"/>
      <c r="B14" s="121"/>
      <c r="C14" s="122"/>
      <c r="D14" s="123">
        <v>56014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v>
      </c>
      <c r="C19" s="134">
        <f>ROUND(VALUE(SUBSTITUTE(実質収支比率等に係る経年分析!G$48,"▲","-")),2)</f>
        <v>8.75</v>
      </c>
      <c r="D19" s="134">
        <f>ROUND(VALUE(SUBSTITUTE(実質収支比率等に係る経年分析!H$48,"▲","-")),2)</f>
        <v>5.81</v>
      </c>
      <c r="E19" s="134">
        <f>ROUND(VALUE(SUBSTITUTE(実質収支比率等に係る経年分析!I$48,"▲","-")),2)</f>
        <v>4.87</v>
      </c>
      <c r="F19" s="134">
        <f>ROUND(VALUE(SUBSTITUTE(実質収支比率等に係る経年分析!J$48,"▲","-")),2)</f>
        <v>7.68</v>
      </c>
    </row>
    <row r="20" spans="1:11">
      <c r="A20" s="134" t="s">
        <v>43</v>
      </c>
      <c r="B20" s="134">
        <f>ROUND(VALUE(SUBSTITUTE(実質収支比率等に係る経年分析!F$47,"▲","-")),2)</f>
        <v>50.31</v>
      </c>
      <c r="C20" s="134">
        <f>ROUND(VALUE(SUBSTITUTE(実質収支比率等に係る経年分析!G$47,"▲","-")),2)</f>
        <v>49.57</v>
      </c>
      <c r="D20" s="134">
        <f>ROUND(VALUE(SUBSTITUTE(実質収支比率等に係る経年分析!H$47,"▲","-")),2)</f>
        <v>48.73</v>
      </c>
      <c r="E20" s="134">
        <f>ROUND(VALUE(SUBSTITUTE(実質収支比率等に係る経年分析!I$47,"▲","-")),2)</f>
        <v>48.15</v>
      </c>
      <c r="F20" s="134">
        <f>ROUND(VALUE(SUBSTITUTE(実質収支比率等に係る経年分析!J$47,"▲","-")),2)</f>
        <v>45.32</v>
      </c>
    </row>
    <row r="21" spans="1:11">
      <c r="A21" s="134" t="s">
        <v>44</v>
      </c>
      <c r="B21" s="134">
        <f>IF(ISNUMBER(VALUE(SUBSTITUTE(実質収支比率等に係る経年分析!F$49,"▲","-"))),ROUND(VALUE(SUBSTITUTE(実質収支比率等に係る経年分析!F$49,"▲","-")),2),NA())</f>
        <v>9.09</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-1.68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公共下水道特別会計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4.8600000000000003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1254</v>
      </c>
      <c r="E42" s="136"/>
      <c r="F42" s="136"/>
      <c r="G42" s="136">
        <f>'実質公債費比率（分子）の構造'!L$52</f>
        <v>1347</v>
      </c>
      <c r="H42" s="136"/>
      <c r="I42" s="136"/>
      <c r="J42" s="136">
        <f>'実質公債費比率（分子）の構造'!M$52</f>
        <v>1372</v>
      </c>
      <c r="K42" s="136"/>
      <c r="L42" s="136"/>
      <c r="M42" s="136">
        <f>'実質公債費比率（分子）の構造'!N$52</f>
        <v>1419</v>
      </c>
      <c r="N42" s="136"/>
      <c r="O42" s="136"/>
      <c r="P42" s="136">
        <f>'実質公債費比率（分子）の構造'!O$52</f>
        <v>1518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13</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c r="A45" s="136" t="s">
        <v>54</v>
      </c>
      <c r="B45" s="136">
        <f>'実質公債費比率（分子）の構造'!K$49</f>
        <v>99</v>
      </c>
      <c r="C45" s="136"/>
      <c r="D45" s="136"/>
      <c r="E45" s="136">
        <f>'実質公債費比率（分子）の構造'!L$49</f>
        <v>85</v>
      </c>
      <c r="F45" s="136"/>
      <c r="G45" s="136"/>
      <c r="H45" s="136">
        <f>'実質公債費比率（分子）の構造'!M$49</f>
        <v>66</v>
      </c>
      <c r="I45" s="136"/>
      <c r="J45" s="136"/>
      <c r="K45" s="136">
        <f>'実質公債費比率（分子）の構造'!N$49</f>
        <v>64</v>
      </c>
      <c r="L45" s="136"/>
      <c r="M45" s="136"/>
      <c r="N45" s="136">
        <f>'実質公債費比率（分子）の構造'!O$49</f>
        <v>72</v>
      </c>
      <c r="O45" s="136"/>
      <c r="P45" s="136"/>
    </row>
    <row r="46" spans="1:16">
      <c r="A46" s="136" t="s">
        <v>55</v>
      </c>
      <c r="B46" s="136">
        <f>'実質公債費比率（分子）の構造'!K$48</f>
        <v>557</v>
      </c>
      <c r="C46" s="136"/>
      <c r="D46" s="136"/>
      <c r="E46" s="136">
        <f>'実質公債費比率（分子）の構造'!L$48</f>
        <v>568</v>
      </c>
      <c r="F46" s="136"/>
      <c r="G46" s="136"/>
      <c r="H46" s="136">
        <f>'実質公債費比率（分子）の構造'!M$48</f>
        <v>628</v>
      </c>
      <c r="I46" s="136"/>
      <c r="J46" s="136"/>
      <c r="K46" s="136">
        <f>'実質公債費比率（分子）の構造'!N$48</f>
        <v>703</v>
      </c>
      <c r="L46" s="136"/>
      <c r="M46" s="136"/>
      <c r="N46" s="136">
        <f>'実質公債費比率（分子）の構造'!O$48</f>
        <v>711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1075</v>
      </c>
      <c r="C49" s="136"/>
      <c r="D49" s="136"/>
      <c r="E49" s="136">
        <f>'実質公債費比率（分子）の構造'!L$45</f>
        <v>1082</v>
      </c>
      <c r="F49" s="136"/>
      <c r="G49" s="136"/>
      <c r="H49" s="136">
        <f>'実質公債費比率（分子）の構造'!M$45</f>
        <v>1070</v>
      </c>
      <c r="I49" s="136"/>
      <c r="J49" s="136"/>
      <c r="K49" s="136">
        <f>'実質公債費比率（分子）の構造'!N$45</f>
        <v>1048</v>
      </c>
      <c r="L49" s="136"/>
      <c r="M49" s="136"/>
      <c r="N49" s="136">
        <f>'実質公債費比率（分子）の構造'!O$45</f>
        <v>1071</v>
      </c>
      <c r="O49" s="136"/>
      <c r="P49" s="136"/>
    </row>
    <row r="50" spans="1:16">
      <c r="A50" s="136" t="s">
        <v>59</v>
      </c>
      <c r="B50" s="136" t="e">
        <f>NA()</f>
        <v>#N/A</v>
      </c>
      <c r="C50" s="136">
        <f>IF(ISNUMBER('実質公債費比率（分子）の構造'!K$53),'実質公債費比率（分子）の構造'!K$53,NA())</f>
        <v>490</v>
      </c>
      <c r="D50" s="136" t="e">
        <f>NA()</f>
        <v>#N/A</v>
      </c>
      <c r="E50" s="136" t="e">
        <f>NA()</f>
        <v>#N/A</v>
      </c>
      <c r="F50" s="136">
        <f>IF(ISNUMBER('実質公債費比率（分子）の構造'!L$53),'実質公債費比率（分子）の構造'!L$53,NA())</f>
        <v>401</v>
      </c>
      <c r="G50" s="136" t="e">
        <f>NA()</f>
        <v>#N/A</v>
      </c>
      <c r="H50" s="136" t="e">
        <f>NA()</f>
        <v>#N/A</v>
      </c>
      <c r="I50" s="136">
        <f>IF(ISNUMBER('実質公債費比率（分子）の構造'!M$53),'実質公債費比率（分子）の構造'!M$53,NA())</f>
        <v>405</v>
      </c>
      <c r="J50" s="136" t="e">
        <f>NA()</f>
        <v>#N/A</v>
      </c>
      <c r="K50" s="136" t="e">
        <f>NA()</f>
        <v>#N/A</v>
      </c>
      <c r="L50" s="136">
        <f>IF(ISNUMBER('実質公債費比率（分子）の構造'!N$53),'実質公債費比率（分子）の構造'!N$53,NA())</f>
        <v>409</v>
      </c>
      <c r="M50" s="136" t="e">
        <f>NA()</f>
        <v>#N/A</v>
      </c>
      <c r="N50" s="136" t="e">
        <f>NA()</f>
        <v>#N/A</v>
      </c>
      <c r="O50" s="136">
        <f>IF(ISNUMBER('実質公債費比率（分子）の構造'!O$53),'実質公債費比率（分子）の構造'!O$53,NA())</f>
        <v>349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17055</v>
      </c>
      <c r="E56" s="135"/>
      <c r="F56" s="135"/>
      <c r="G56" s="135">
        <f>'将来負担比率（分子）の構造'!J$51</f>
        <v>17417</v>
      </c>
      <c r="H56" s="135"/>
      <c r="I56" s="135"/>
      <c r="J56" s="135">
        <f>'将来負担比率（分子）の構造'!K$51</f>
        <v>18377</v>
      </c>
      <c r="K56" s="135"/>
      <c r="L56" s="135"/>
      <c r="M56" s="135">
        <f>'将来負担比率（分子）の構造'!L$51</f>
        <v>18728</v>
      </c>
      <c r="N56" s="135"/>
      <c r="O56" s="135"/>
      <c r="P56" s="135">
        <f>'将来負担比率（分子）の構造'!M$51</f>
        <v>18592</v>
      </c>
    </row>
    <row r="57" spans="1:16">
      <c r="A57" s="135" t="s">
        <v>35</v>
      </c>
      <c r="B57" s="135"/>
      <c r="C57" s="135"/>
      <c r="D57" s="135">
        <f>'将来負担比率（分子）の構造'!I$50</f>
        <v>108</v>
      </c>
      <c r="E57" s="135"/>
      <c r="F57" s="135"/>
      <c r="G57" s="135">
        <f>'将来負担比率（分子）の構造'!J$50</f>
        <v>114</v>
      </c>
      <c r="H57" s="135"/>
      <c r="I57" s="135"/>
      <c r="J57" s="135">
        <f>'将来負担比率（分子）の構造'!K$50</f>
        <v>135</v>
      </c>
      <c r="K57" s="135"/>
      <c r="L57" s="135"/>
      <c r="M57" s="135">
        <f>'将来負担比率（分子）の構造'!L$50</f>
        <v>113</v>
      </c>
      <c r="N57" s="135"/>
      <c r="O57" s="135"/>
      <c r="P57" s="135">
        <f>'将来負担比率（分子）の構造'!M$50</f>
        <v>95</v>
      </c>
    </row>
    <row r="58" spans="1:16">
      <c r="A58" s="135" t="s">
        <v>34</v>
      </c>
      <c r="B58" s="135"/>
      <c r="C58" s="135"/>
      <c r="D58" s="135">
        <f>'将来負担比率（分子）の構造'!I$49</f>
        <v>9701</v>
      </c>
      <c r="E58" s="135"/>
      <c r="F58" s="135"/>
      <c r="G58" s="135">
        <f>'将来負担比率（分子）の構造'!J$49</f>
        <v>10139</v>
      </c>
      <c r="H58" s="135"/>
      <c r="I58" s="135"/>
      <c r="J58" s="135">
        <f>'将来負担比率（分子）の構造'!K$49</f>
        <v>10504</v>
      </c>
      <c r="K58" s="135"/>
      <c r="L58" s="135"/>
      <c r="M58" s="135">
        <f>'将来負担比率（分子）の構造'!L$49</f>
        <v>10281</v>
      </c>
      <c r="N58" s="135"/>
      <c r="O58" s="135"/>
      <c r="P58" s="135">
        <f>'将来負担比率（分子）の構造'!M$49</f>
        <v>9517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2122</v>
      </c>
      <c r="C62" s="135"/>
      <c r="D62" s="135"/>
      <c r="E62" s="135">
        <f>'将来負担比率（分子）の構造'!J$45</f>
        <v>2193</v>
      </c>
      <c r="F62" s="135"/>
      <c r="G62" s="135"/>
      <c r="H62" s="135">
        <f>'将来負担比率（分子）の構造'!K$45</f>
        <v>2240</v>
      </c>
      <c r="I62" s="135"/>
      <c r="J62" s="135"/>
      <c r="K62" s="135">
        <f>'将来負担比率（分子）の構造'!L$45</f>
        <v>2299</v>
      </c>
      <c r="L62" s="135"/>
      <c r="M62" s="135"/>
      <c r="N62" s="135">
        <f>'将来負担比率（分子）の構造'!M$45</f>
        <v>2136</v>
      </c>
      <c r="O62" s="135"/>
      <c r="P62" s="135"/>
    </row>
    <row r="63" spans="1:16">
      <c r="A63" s="135" t="s">
        <v>28</v>
      </c>
      <c r="B63" s="135">
        <f>'将来負担比率（分子）の構造'!I$44</f>
        <v>525</v>
      </c>
      <c r="C63" s="135"/>
      <c r="D63" s="135"/>
      <c r="E63" s="135">
        <f>'将来負担比率（分子）の構造'!J$44</f>
        <v>442</v>
      </c>
      <c r="F63" s="135"/>
      <c r="G63" s="135"/>
      <c r="H63" s="135">
        <f>'将来負担比率（分子）の構造'!K$44</f>
        <v>491</v>
      </c>
      <c r="I63" s="135"/>
      <c r="J63" s="135"/>
      <c r="K63" s="135">
        <f>'将来負担比率（分子）の構造'!L$44</f>
        <v>424</v>
      </c>
      <c r="L63" s="135"/>
      <c r="M63" s="135"/>
      <c r="N63" s="135">
        <f>'将来負担比率（分子）の構造'!M$44</f>
        <v>373</v>
      </c>
      <c r="O63" s="135"/>
      <c r="P63" s="135"/>
    </row>
    <row r="64" spans="1:16">
      <c r="A64" s="135" t="s">
        <v>27</v>
      </c>
      <c r="B64" s="135">
        <f>'将来負担比率（分子）の構造'!I$43</f>
        <v>11231</v>
      </c>
      <c r="C64" s="135"/>
      <c r="D64" s="135"/>
      <c r="E64" s="135">
        <f>'将来負担比率（分子）の構造'!J$43</f>
        <v>10934</v>
      </c>
      <c r="F64" s="135"/>
      <c r="G64" s="135"/>
      <c r="H64" s="135">
        <f>'将来負担比率（分子）の構造'!K$43</f>
        <v>10769</v>
      </c>
      <c r="I64" s="135"/>
      <c r="J64" s="135"/>
      <c r="K64" s="135">
        <f>'将来負担比率（分子）の構造'!L$43</f>
        <v>10698</v>
      </c>
      <c r="L64" s="135"/>
      <c r="M64" s="135"/>
      <c r="N64" s="135">
        <f>'将来負担比率（分子）の構造'!M$43</f>
        <v>10878</v>
      </c>
      <c r="O64" s="135"/>
      <c r="P64" s="135"/>
    </row>
    <row r="65" spans="1:16">
      <c r="A65" s="135" t="s">
        <v>26</v>
      </c>
      <c r="B65" s="135">
        <f>'将来負担比率（分子）の構造'!I$42</f>
        <v>912</v>
      </c>
      <c r="C65" s="135"/>
      <c r="D65" s="135"/>
      <c r="E65" s="135">
        <f>'将来負担比率（分子）の構造'!J$42</f>
        <v>956</v>
      </c>
      <c r="F65" s="135"/>
      <c r="G65" s="135"/>
      <c r="H65" s="135">
        <f>'将来負担比率（分子）の構造'!K$42</f>
        <v>944</v>
      </c>
      <c r="I65" s="135"/>
      <c r="J65" s="135"/>
      <c r="K65" s="135">
        <f>'将来負担比率（分子）の構造'!L$42</f>
        <v>937</v>
      </c>
      <c r="L65" s="135"/>
      <c r="M65" s="135"/>
      <c r="N65" s="135">
        <f>'将来負担比率（分子）の構造'!M$42</f>
        <v>748</v>
      </c>
      <c r="O65" s="135"/>
      <c r="P65" s="135"/>
    </row>
    <row r="66" spans="1:16">
      <c r="A66" s="135" t="s">
        <v>25</v>
      </c>
      <c r="B66" s="135">
        <f>'将来負担比率（分子）の構造'!I$41</f>
        <v>13470</v>
      </c>
      <c r="C66" s="135"/>
      <c r="D66" s="135"/>
      <c r="E66" s="135">
        <f>'将来負担比率（分子）の構造'!J$41</f>
        <v>13811</v>
      </c>
      <c r="F66" s="135"/>
      <c r="G66" s="135"/>
      <c r="H66" s="135">
        <f>'将来負担比率（分子）の構造'!K$41</f>
        <v>14868</v>
      </c>
      <c r="I66" s="135"/>
      <c r="J66" s="135"/>
      <c r="K66" s="135">
        <f>'将来負担比率（分子）の構造'!L$41</f>
        <v>15747</v>
      </c>
      <c r="L66" s="135"/>
      <c r="M66" s="135"/>
      <c r="N66" s="135">
        <f>'将来負担比率（分子）の構造'!M$41</f>
        <v>16025</v>
      </c>
      <c r="O66" s="135"/>
      <c r="P66" s="135"/>
    </row>
    <row r="67" spans="1:16">
      <c r="A67" s="135" t="s">
        <v>63</v>
      </c>
      <c r="B67" s="135" t="e">
        <f>NA()</f>
        <v>#N/A</v>
      </c>
      <c r="C67" s="135">
        <f>IF(ISNUMBER('将来負担比率（分子）の構造'!I$52), IF('将来負担比率（分子）の構造'!I$52 &lt; 0, 0, '将来負担比率（分子）の構造'!I$52), NA())</f>
        <v>1395</v>
      </c>
      <c r="D67" s="135" t="e">
        <f>NA()</f>
        <v>#N/A</v>
      </c>
      <c r="E67" s="135" t="e">
        <f>NA()</f>
        <v>#N/A</v>
      </c>
      <c r="F67" s="135">
        <f>IF(ISNUMBER('将来負担比率（分子）の構造'!J$52), IF('将来負担比率（分子）の構造'!J$52 &lt; 0, 0, '将来負担比率（分子）の構造'!J$52), NA())</f>
        <v>665</v>
      </c>
      <c r="G67" s="135" t="e">
        <f>NA()</f>
        <v>#N/A</v>
      </c>
      <c r="H67" s="135" t="e">
        <f>NA()</f>
        <v>#N/A</v>
      </c>
      <c r="I67" s="135">
        <f>IF(ISNUMBER('将来負担比率（分子）の構造'!K$52), IF('将来負担比率（分子）の構造'!K$52 &lt; 0, 0, '将来負担比率（分子）の構造'!K$52), NA())</f>
        <v>296</v>
      </c>
      <c r="J67" s="135" t="e">
        <f>NA()</f>
        <v>#N/A</v>
      </c>
      <c r="K67" s="135" t="e">
        <f>NA()</f>
        <v>#N/A</v>
      </c>
      <c r="L67" s="135">
        <f>IF(ISNUMBER('将来負担比率（分子）の構造'!L$52), IF('将来負担比率（分子）の構造'!L$52 &lt; 0, 0, '将来負担比率（分子）の構造'!L$52), NA())</f>
        <v>982</v>
      </c>
      <c r="M67" s="135" t="e">
        <f>NA()</f>
        <v>#N/A</v>
      </c>
      <c r="N67" s="135" t="e">
        <f>NA()</f>
        <v>#N/A</v>
      </c>
      <c r="O67" s="135">
        <f>IF(ISNUMBER('将来負担比率（分子）の構造'!M$52), IF('将来負担比率（分子）の構造'!M$52 &lt; 0, 0, '将来負担比率（分子）の構造'!M$52), NA())</f>
        <v>1956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2016-04-25T23:54:08Z</cp:lastPrinted>
  <dcterms:created xsi:type="dcterms:W3CDTF">2016-02-15T01:28:55Z</dcterms:created>
  <dcterms:modified xsi:type="dcterms:W3CDTF">2016-04-26T00:25:09Z</dcterms:modified>
</cp:coreProperties>
</file>